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filterPrivacy="1" defaultThemeVersion="124226"/>
  <xr:revisionPtr revIDLastSave="0" documentId="13_ncr:1_{831975B5-D4EE-4724-A5FB-CF5B4239834A}" xr6:coauthVersionLast="40" xr6:coauthVersionMax="40" xr10:uidLastSave="{00000000-0000-0000-0000-000000000000}"/>
  <bookViews>
    <workbookView xWindow="2820" yWindow="5385" windowWidth="14700" windowHeight="4815" tabRatio="891" activeTab="6" xr2:uid="{00000000-000D-0000-FFFF-FFFF00000000}"/>
  </bookViews>
  <sheets>
    <sheet name="затраты" sheetId="37" r:id="rId1"/>
    <sheet name="натур показатели 3 работа" sheetId="38" r:id="rId2"/>
    <sheet name="работа 3 добр" sheetId="31" r:id="rId3"/>
    <sheet name="Лист1" sheetId="41" r:id="rId4"/>
    <sheet name="натур показатели 2 работа" sheetId="39" r:id="rId5"/>
    <sheet name="работа 2 пат" sheetId="14" r:id="rId6"/>
    <sheet name="натур показатели 1 работа " sheetId="40" r:id="rId7"/>
    <sheet name="работа 1 иниц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7" hidden="1">'работа 1 иниц'!$A$230:$I$388</definedName>
    <definedName name="_xlnm._FilterDatabase" localSheetId="2" hidden="1">'работа 3 добр'!$A$208:$J$390</definedName>
    <definedName name="_xlnm.Print_Area" localSheetId="0">затраты!$A$1:$K$24</definedName>
    <definedName name="_xlnm.Print_Area" localSheetId="7">'работа 1 иниц'!$A$1:$I$447</definedName>
    <definedName name="_xlnm.Print_Area" localSheetId="5">'работа 2 пат'!$A$1:$I$444</definedName>
    <definedName name="_xlnm.Print_Area" localSheetId="2">'работа 3 добр'!$A$1:$I$439</definedName>
  </definedNames>
  <calcPr calcId="181029"/>
  <fileRecoveryPr autoRecover="0"/>
</workbook>
</file>

<file path=xl/calcChain.xml><?xml version="1.0" encoding="utf-8"?>
<calcChain xmlns="http://schemas.openxmlformats.org/spreadsheetml/2006/main">
  <c r="E299" i="40" l="1"/>
  <c r="E300" i="40"/>
  <c r="E301" i="40"/>
  <c r="E302" i="40"/>
  <c r="E303" i="40"/>
  <c r="E304" i="40"/>
  <c r="E305" i="40"/>
  <c r="E306" i="40"/>
  <c r="E307" i="40"/>
  <c r="E308" i="40"/>
  <c r="E309" i="40"/>
  <c r="E310" i="40"/>
  <c r="E311" i="40"/>
  <c r="E312" i="40"/>
  <c r="E313" i="40"/>
  <c r="E314" i="40"/>
  <c r="E315" i="40"/>
  <c r="E316" i="40"/>
  <c r="C316" i="40"/>
  <c r="C314" i="40"/>
  <c r="C315" i="40"/>
  <c r="C299" i="40"/>
  <c r="C300" i="40"/>
  <c r="C301" i="40"/>
  <c r="C302" i="40"/>
  <c r="C303" i="40"/>
  <c r="C304" i="40"/>
  <c r="C305" i="40"/>
  <c r="C306" i="40"/>
  <c r="C307" i="40"/>
  <c r="C308" i="40"/>
  <c r="C309" i="40"/>
  <c r="C310" i="40"/>
  <c r="C311" i="40"/>
  <c r="C312" i="40"/>
  <c r="C313" i="40"/>
  <c r="E306" i="39"/>
  <c r="E307" i="39"/>
  <c r="E308" i="39"/>
  <c r="E309" i="39"/>
  <c r="E310" i="39"/>
  <c r="E311" i="39"/>
  <c r="E312" i="39"/>
  <c r="E313" i="39"/>
  <c r="E314" i="39"/>
  <c r="E315" i="39"/>
  <c r="E316" i="39"/>
  <c r="E317" i="39"/>
  <c r="E318" i="39"/>
  <c r="E319" i="39"/>
  <c r="E320" i="39"/>
  <c r="E321" i="39"/>
  <c r="E322" i="39"/>
  <c r="E323" i="39"/>
  <c r="D305" i="39"/>
  <c r="C319" i="39"/>
  <c r="C320" i="39"/>
  <c r="C321" i="39"/>
  <c r="C322" i="39"/>
  <c r="C323" i="39"/>
  <c r="C306" i="39"/>
  <c r="C307" i="39"/>
  <c r="C308" i="39"/>
  <c r="C309" i="39"/>
  <c r="C310" i="39"/>
  <c r="C311" i="39"/>
  <c r="C312" i="39"/>
  <c r="C313" i="39"/>
  <c r="C314" i="39"/>
  <c r="C315" i="39"/>
  <c r="C316" i="39"/>
  <c r="C317" i="39"/>
  <c r="C318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G76" i="14"/>
  <c r="G84" i="14"/>
  <c r="G85" i="14"/>
  <c r="G72" i="14"/>
  <c r="G69" i="14"/>
  <c r="G80" i="14"/>
  <c r="G81" i="14"/>
  <c r="G82" i="14"/>
  <c r="G83" i="14"/>
  <c r="F429" i="15"/>
  <c r="F430" i="15"/>
  <c r="F431" i="15"/>
  <c r="F432" i="15"/>
  <c r="F433" i="15"/>
  <c r="F434" i="15"/>
  <c r="F435" i="15"/>
  <c r="F436" i="15"/>
  <c r="F437" i="15"/>
  <c r="F438" i="15"/>
  <c r="F439" i="15"/>
  <c r="F440" i="15"/>
  <c r="F441" i="15"/>
  <c r="F442" i="15"/>
  <c r="F443" i="15"/>
  <c r="F444" i="15"/>
  <c r="F445" i="15"/>
  <c r="F446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A445" i="15"/>
  <c r="A437" i="15"/>
  <c r="A439" i="15"/>
  <c r="A441" i="15"/>
  <c r="A443" i="15"/>
  <c r="A429" i="15"/>
  <c r="A431" i="15"/>
  <c r="A433" i="15"/>
  <c r="A435" i="15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D412" i="14"/>
  <c r="F412" i="14" s="1"/>
  <c r="D413" i="14"/>
  <c r="F413" i="14" s="1"/>
  <c r="D414" i="14"/>
  <c r="F414" i="14" s="1"/>
  <c r="D415" i="14"/>
  <c r="F415" i="14" s="1"/>
  <c r="D416" i="14"/>
  <c r="F416" i="14" s="1"/>
  <c r="D417" i="14"/>
  <c r="F417" i="14" s="1"/>
  <c r="D418" i="14"/>
  <c r="F418" i="14" s="1"/>
  <c r="D419" i="14"/>
  <c r="F419" i="14" s="1"/>
  <c r="D420" i="14"/>
  <c r="F420" i="14" s="1"/>
  <c r="D421" i="14"/>
  <c r="F421" i="14" s="1"/>
  <c r="D422" i="14"/>
  <c r="F422" i="14" s="1"/>
  <c r="D423" i="14"/>
  <c r="F423" i="14" s="1"/>
  <c r="D424" i="14"/>
  <c r="F424" i="14" s="1"/>
  <c r="D425" i="14"/>
  <c r="F425" i="14" s="1"/>
  <c r="D426" i="14"/>
  <c r="F426" i="14" s="1"/>
  <c r="D427" i="14"/>
  <c r="F427" i="14" s="1"/>
  <c r="D428" i="14"/>
  <c r="F428" i="14" s="1"/>
  <c r="D429" i="14"/>
  <c r="F429" i="14" s="1"/>
  <c r="A412" i="14"/>
  <c r="A413" i="14"/>
  <c r="A430" i="15" s="1"/>
  <c r="A414" i="14"/>
  <c r="A415" i="14"/>
  <c r="A432" i="15" s="1"/>
  <c r="A416" i="14"/>
  <c r="A417" i="14"/>
  <c r="A434" i="15" s="1"/>
  <c r="A418" i="14"/>
  <c r="A419" i="14"/>
  <c r="A436" i="15" s="1"/>
  <c r="A420" i="14"/>
  <c r="A421" i="14"/>
  <c r="A438" i="15" s="1"/>
  <c r="A422" i="14"/>
  <c r="A423" i="14"/>
  <c r="A440" i="15" s="1"/>
  <c r="A424" i="14"/>
  <c r="A425" i="14"/>
  <c r="A442" i="15" s="1"/>
  <c r="A426" i="14"/>
  <c r="A427" i="14"/>
  <c r="A444" i="15" s="1"/>
  <c r="A428" i="14"/>
  <c r="A429" i="14"/>
  <c r="A446" i="15" s="1"/>
  <c r="A430" i="14"/>
  <c r="A431" i="14"/>
  <c r="A432" i="14"/>
  <c r="A433" i="14"/>
  <c r="A434" i="14"/>
  <c r="A435" i="14"/>
  <c r="E92" i="38"/>
  <c r="C92" i="38"/>
  <c r="F439" i="31"/>
  <c r="F408" i="31"/>
  <c r="F409" i="31"/>
  <c r="F410" i="31"/>
  <c r="F411" i="31"/>
  <c r="F412" i="31"/>
  <c r="F413" i="31"/>
  <c r="F414" i="31"/>
  <c r="F415" i="31"/>
  <c r="F416" i="31"/>
  <c r="F417" i="31"/>
  <c r="F418" i="31"/>
  <c r="F419" i="31"/>
  <c r="F420" i="31"/>
  <c r="F421" i="31"/>
  <c r="F422" i="31"/>
  <c r="F423" i="31"/>
  <c r="F424" i="31"/>
  <c r="F425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D408" i="31"/>
  <c r="D409" i="31"/>
  <c r="D410" i="31"/>
  <c r="D411" i="31"/>
  <c r="D412" i="31"/>
  <c r="D413" i="31"/>
  <c r="D414" i="31"/>
  <c r="D415" i="31"/>
  <c r="D416" i="31"/>
  <c r="D417" i="31"/>
  <c r="D418" i="31"/>
  <c r="D419" i="31"/>
  <c r="D420" i="31"/>
  <c r="D421" i="31"/>
  <c r="D422" i="31"/>
  <c r="D423" i="31"/>
  <c r="D424" i="31"/>
  <c r="D425" i="31"/>
  <c r="D426" i="31"/>
  <c r="D427" i="31"/>
  <c r="D428" i="31"/>
  <c r="D429" i="31"/>
  <c r="D430" i="31"/>
  <c r="D431" i="31"/>
  <c r="D432" i="31"/>
  <c r="D433" i="31"/>
  <c r="D434" i="31"/>
  <c r="D435" i="31"/>
  <c r="D436" i="31"/>
  <c r="D437" i="31"/>
  <c r="D438" i="31"/>
  <c r="D439" i="31"/>
  <c r="A408" i="31"/>
  <c r="A409" i="31"/>
  <c r="A410" i="31"/>
  <c r="A411" i="31"/>
  <c r="A412" i="31"/>
  <c r="A413" i="31"/>
  <c r="A414" i="31"/>
  <c r="A415" i="31"/>
  <c r="A416" i="31"/>
  <c r="A417" i="31"/>
  <c r="A418" i="31"/>
  <c r="A419" i="31"/>
  <c r="A420" i="31"/>
  <c r="A421" i="31"/>
  <c r="A422" i="31"/>
  <c r="A423" i="31"/>
  <c r="A424" i="31"/>
  <c r="A425" i="31"/>
  <c r="A426" i="31"/>
  <c r="A427" i="31"/>
  <c r="A428" i="31"/>
  <c r="A429" i="31"/>
  <c r="A430" i="31"/>
  <c r="A431" i="31"/>
  <c r="A432" i="31"/>
  <c r="A433" i="31"/>
  <c r="A434" i="31"/>
  <c r="A435" i="31"/>
  <c r="A436" i="31"/>
  <c r="A437" i="31"/>
  <c r="A438" i="31"/>
  <c r="A439" i="31"/>
  <c r="A440" i="31"/>
  <c r="A441" i="31"/>
  <c r="A442" i="31"/>
  <c r="A443" i="31"/>
  <c r="A444" i="31"/>
  <c r="A445" i="31"/>
  <c r="A446" i="31"/>
  <c r="A447" i="31"/>
  <c r="A448" i="31"/>
  <c r="A449" i="31"/>
  <c r="A450" i="31"/>
  <c r="A451" i="31"/>
  <c r="A452" i="31"/>
  <c r="A453" i="31"/>
  <c r="A454" i="31"/>
  <c r="A455" i="31"/>
  <c r="A456" i="31"/>
  <c r="A457" i="31"/>
  <c r="K200" i="41"/>
  <c r="K199" i="41"/>
  <c r="K198" i="41"/>
  <c r="K197" i="41"/>
  <c r="K196" i="41"/>
  <c r="K195" i="41"/>
  <c r="K194" i="41"/>
  <c r="K193" i="41"/>
  <c r="K192" i="41"/>
  <c r="K191" i="41"/>
  <c r="I190" i="41"/>
  <c r="I189" i="41"/>
  <c r="I188" i="41"/>
  <c r="I187" i="41"/>
  <c r="I186" i="41"/>
  <c r="I185" i="41"/>
  <c r="I184" i="41"/>
  <c r="I183" i="41"/>
  <c r="I182" i="41"/>
  <c r="I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K116" i="41"/>
  <c r="K115" i="41"/>
  <c r="K114" i="41"/>
  <c r="I113" i="41"/>
  <c r="I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K60" i="41"/>
  <c r="K59" i="41"/>
  <c r="K58" i="41"/>
  <c r="I57" i="41"/>
  <c r="I56" i="41"/>
  <c r="I55" i="41"/>
  <c r="I54" i="41"/>
  <c r="I53" i="41"/>
  <c r="I52" i="41"/>
  <c r="I51" i="41"/>
  <c r="G50" i="41"/>
  <c r="I50" i="41" s="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94" i="15"/>
  <c r="E193" i="15"/>
  <c r="G193" i="15" s="1"/>
  <c r="A193" i="15"/>
  <c r="E177" i="14"/>
  <c r="E176" i="14"/>
  <c r="G176" i="14" s="1"/>
  <c r="G173" i="31"/>
  <c r="G171" i="31"/>
  <c r="G164" i="31"/>
  <c r="E32" i="38"/>
  <c r="E31" i="38"/>
  <c r="E29" i="38"/>
  <c r="E30" i="38"/>
  <c r="E28" i="38"/>
  <c r="E19" i="38"/>
  <c r="E20" i="38"/>
  <c r="E21" i="38"/>
  <c r="E22" i="38"/>
  <c r="E23" i="38"/>
  <c r="E24" i="38"/>
  <c r="E25" i="38"/>
  <c r="E26" i="38"/>
  <c r="E27" i="38"/>
  <c r="E18" i="38"/>
  <c r="E17" i="38"/>
  <c r="E16" i="38"/>
  <c r="D20" i="38"/>
  <c r="C32" i="38"/>
  <c r="C31" i="38"/>
  <c r="C29" i="38"/>
  <c r="C30" i="38"/>
  <c r="C28" i="38"/>
  <c r="C27" i="38"/>
  <c r="C19" i="38"/>
  <c r="C20" i="38"/>
  <c r="C21" i="38"/>
  <c r="C22" i="38"/>
  <c r="C23" i="38"/>
  <c r="C24" i="38"/>
  <c r="C25" i="38"/>
  <c r="C26" i="38"/>
  <c r="C18" i="38"/>
  <c r="C17" i="38"/>
  <c r="C16" i="38"/>
  <c r="G65" i="31"/>
  <c r="G66" i="31"/>
  <c r="G68" i="31"/>
  <c r="G69" i="31"/>
  <c r="G70" i="31"/>
  <c r="G71" i="31"/>
  <c r="G72" i="31"/>
  <c r="G73" i="31"/>
  <c r="G74" i="31"/>
  <c r="G75" i="31"/>
  <c r="G76" i="31"/>
  <c r="G77" i="31"/>
  <c r="G79" i="31"/>
  <c r="G80" i="31"/>
  <c r="G81" i="31"/>
  <c r="G83" i="31"/>
  <c r="E103" i="40" l="1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E118" i="39"/>
  <c r="E122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81" i="39"/>
  <c r="D82" i="39"/>
  <c r="D83" i="39"/>
  <c r="D59" i="39"/>
  <c r="D96" i="38"/>
  <c r="D110" i="39" s="1"/>
  <c r="D103" i="40" s="1"/>
  <c r="D97" i="38"/>
  <c r="D111" i="39" s="1"/>
  <c r="D104" i="40" s="1"/>
  <c r="D98" i="38"/>
  <c r="D112" i="39" s="1"/>
  <c r="D105" i="40" s="1"/>
  <c r="D99" i="38"/>
  <c r="D113" i="39" s="1"/>
  <c r="D106" i="40" s="1"/>
  <c r="D100" i="38"/>
  <c r="D114" i="39" s="1"/>
  <c r="D107" i="40" s="1"/>
  <c r="D101" i="38"/>
  <c r="D115" i="39" s="1"/>
  <c r="D108" i="40" s="1"/>
  <c r="D102" i="38"/>
  <c r="D116" i="39" s="1"/>
  <c r="D109" i="40" s="1"/>
  <c r="D103" i="38"/>
  <c r="D117" i="39" s="1"/>
  <c r="D110" i="40" s="1"/>
  <c r="D104" i="38"/>
  <c r="D118" i="39" s="1"/>
  <c r="D111" i="40" s="1"/>
  <c r="D105" i="38"/>
  <c r="D119" i="39" s="1"/>
  <c r="D112" i="40" s="1"/>
  <c r="D106" i="38"/>
  <c r="D120" i="39" s="1"/>
  <c r="D113" i="40" s="1"/>
  <c r="D107" i="38"/>
  <c r="D121" i="39" s="1"/>
  <c r="D114" i="40" s="1"/>
  <c r="D108" i="38"/>
  <c r="D122" i="39" s="1"/>
  <c r="D115" i="40" s="1"/>
  <c r="D109" i="38"/>
  <c r="D123" i="39" s="1"/>
  <c r="D116" i="40" s="1"/>
  <c r="D110" i="38"/>
  <c r="D124" i="39" s="1"/>
  <c r="D117" i="40" s="1"/>
  <c r="D111" i="38"/>
  <c r="D125" i="39" s="1"/>
  <c r="D118" i="40" s="1"/>
  <c r="D112" i="38"/>
  <c r="D126" i="39" s="1"/>
  <c r="D119" i="40" s="1"/>
  <c r="D113" i="38"/>
  <c r="D127" i="39" s="1"/>
  <c r="D120" i="40" s="1"/>
  <c r="D114" i="38"/>
  <c r="D128" i="39" s="1"/>
  <c r="D121" i="40" s="1"/>
  <c r="D115" i="38"/>
  <c r="D129" i="39" s="1"/>
  <c r="D122" i="40" s="1"/>
  <c r="D116" i="38"/>
  <c r="D130" i="39" s="1"/>
  <c r="D123" i="40" s="1"/>
  <c r="D117" i="38"/>
  <c r="D131" i="39" s="1"/>
  <c r="D124" i="40" s="1"/>
  <c r="D118" i="38"/>
  <c r="D132" i="39" s="1"/>
  <c r="D125" i="40" s="1"/>
  <c r="D119" i="38"/>
  <c r="D133" i="39" s="1"/>
  <c r="D126" i="40" s="1"/>
  <c r="D120" i="38"/>
  <c r="D134" i="39" s="1"/>
  <c r="D127" i="40" s="1"/>
  <c r="D121" i="38"/>
  <c r="D135" i="39" s="1"/>
  <c r="D128" i="40" s="1"/>
  <c r="D122" i="38"/>
  <c r="D136" i="39" s="1"/>
  <c r="D129" i="40" s="1"/>
  <c r="D123" i="38"/>
  <c r="D137" i="39" s="1"/>
  <c r="D130" i="40" s="1"/>
  <c r="D124" i="38"/>
  <c r="D138" i="39" s="1"/>
  <c r="D131" i="40" s="1"/>
  <c r="D125" i="38"/>
  <c r="D139" i="39" s="1"/>
  <c r="D132" i="40" s="1"/>
  <c r="D126" i="38"/>
  <c r="D140" i="39" s="1"/>
  <c r="D133" i="40" s="1"/>
  <c r="D127" i="38"/>
  <c r="D141" i="39" s="1"/>
  <c r="D134" i="40" s="1"/>
  <c r="D128" i="38"/>
  <c r="D142" i="39" s="1"/>
  <c r="D135" i="40" s="1"/>
  <c r="D129" i="38"/>
  <c r="D143" i="39" s="1"/>
  <c r="D136" i="40" s="1"/>
  <c r="D130" i="38"/>
  <c r="D144" i="39" s="1"/>
  <c r="D137" i="40" s="1"/>
  <c r="D131" i="38"/>
  <c r="D145" i="39" s="1"/>
  <c r="D138" i="40" s="1"/>
  <c r="D132" i="38"/>
  <c r="D146" i="39" s="1"/>
  <c r="D139" i="40" s="1"/>
  <c r="D133" i="38"/>
  <c r="D147" i="39" s="1"/>
  <c r="D140" i="40" s="1"/>
  <c r="D134" i="38"/>
  <c r="D148" i="39" s="1"/>
  <c r="D141" i="40" s="1"/>
  <c r="D135" i="38"/>
  <c r="D149" i="39" s="1"/>
  <c r="D142" i="40" s="1"/>
  <c r="D136" i="38"/>
  <c r="D150" i="39" s="1"/>
  <c r="D143" i="40" s="1"/>
  <c r="D137" i="38"/>
  <c r="D151" i="39" s="1"/>
  <c r="D144" i="40" s="1"/>
  <c r="D138" i="38"/>
  <c r="D152" i="39" s="1"/>
  <c r="D145" i="40" s="1"/>
  <c r="D139" i="38"/>
  <c r="D153" i="39" s="1"/>
  <c r="D146" i="40" s="1"/>
  <c r="D140" i="38"/>
  <c r="D154" i="39" s="1"/>
  <c r="D147" i="40" s="1"/>
  <c r="D141" i="38"/>
  <c r="D155" i="39" s="1"/>
  <c r="D148" i="40" s="1"/>
  <c r="D142" i="38"/>
  <c r="D156" i="39" s="1"/>
  <c r="D149" i="40" s="1"/>
  <c r="D143" i="38"/>
  <c r="D157" i="39" s="1"/>
  <c r="D150" i="40" s="1"/>
  <c r="D144" i="38"/>
  <c r="D158" i="39" s="1"/>
  <c r="D151" i="40" s="1"/>
  <c r="D145" i="38"/>
  <c r="D159" i="39" s="1"/>
  <c r="D152" i="40" s="1"/>
  <c r="D146" i="38"/>
  <c r="D160" i="39" s="1"/>
  <c r="D153" i="40" s="1"/>
  <c r="D147" i="38"/>
  <c r="D161" i="39" s="1"/>
  <c r="D154" i="40" s="1"/>
  <c r="D148" i="38"/>
  <c r="D162" i="39" s="1"/>
  <c r="D155" i="40" s="1"/>
  <c r="D149" i="38"/>
  <c r="D163" i="39" s="1"/>
  <c r="D156" i="40" s="1"/>
  <c r="D150" i="38"/>
  <c r="D164" i="39" s="1"/>
  <c r="D157" i="40" s="1"/>
  <c r="D151" i="38"/>
  <c r="D165" i="39" s="1"/>
  <c r="D158" i="40" s="1"/>
  <c r="D152" i="38"/>
  <c r="D166" i="39" s="1"/>
  <c r="D159" i="40" s="1"/>
  <c r="D153" i="38"/>
  <c r="D167" i="39" s="1"/>
  <c r="D160" i="40" s="1"/>
  <c r="D154" i="38"/>
  <c r="D168" i="39" s="1"/>
  <c r="D161" i="40" s="1"/>
  <c r="D155" i="38"/>
  <c r="D169" i="39" s="1"/>
  <c r="D162" i="40" s="1"/>
  <c r="D156" i="38"/>
  <c r="D170" i="39" s="1"/>
  <c r="D163" i="40" s="1"/>
  <c r="D157" i="38"/>
  <c r="D171" i="39" s="1"/>
  <c r="D164" i="40" s="1"/>
  <c r="D158" i="38"/>
  <c r="D172" i="39" s="1"/>
  <c r="D165" i="40" s="1"/>
  <c r="D159" i="38"/>
  <c r="D173" i="39" s="1"/>
  <c r="D166" i="40" s="1"/>
  <c r="D160" i="38"/>
  <c r="D174" i="39" s="1"/>
  <c r="D167" i="40" s="1"/>
  <c r="D161" i="38"/>
  <c r="D175" i="39" s="1"/>
  <c r="D168" i="40" s="1"/>
  <c r="D162" i="38"/>
  <c r="D176" i="39" s="1"/>
  <c r="D169" i="40" s="1"/>
  <c r="D163" i="38"/>
  <c r="D177" i="39" s="1"/>
  <c r="D170" i="40" s="1"/>
  <c r="D164" i="38"/>
  <c r="D178" i="39" s="1"/>
  <c r="D171" i="40" s="1"/>
  <c r="D165" i="38"/>
  <c r="D179" i="39" s="1"/>
  <c r="D172" i="40" s="1"/>
  <c r="D166" i="38"/>
  <c r="D180" i="39" s="1"/>
  <c r="D173" i="40" s="1"/>
  <c r="D167" i="38"/>
  <c r="D181" i="39" s="1"/>
  <c r="D174" i="40" s="1"/>
  <c r="D168" i="38"/>
  <c r="D182" i="39" s="1"/>
  <c r="D175" i="40" s="1"/>
  <c r="D169" i="38"/>
  <c r="D183" i="39" s="1"/>
  <c r="D176" i="40" s="1"/>
  <c r="D170" i="38"/>
  <c r="D184" i="39" s="1"/>
  <c r="D177" i="40" s="1"/>
  <c r="D171" i="38"/>
  <c r="D185" i="39" s="1"/>
  <c r="D178" i="40" s="1"/>
  <c r="D172" i="38"/>
  <c r="D186" i="39" s="1"/>
  <c r="D179" i="40" s="1"/>
  <c r="D173" i="38"/>
  <c r="D187" i="39" s="1"/>
  <c r="D180" i="40" s="1"/>
  <c r="D174" i="38"/>
  <c r="D188" i="39" s="1"/>
  <c r="D181" i="40" s="1"/>
  <c r="D175" i="38"/>
  <c r="D189" i="39" s="1"/>
  <c r="D182" i="40" s="1"/>
  <c r="D176" i="38"/>
  <c r="D190" i="39" s="1"/>
  <c r="D183" i="40" s="1"/>
  <c r="D177" i="38"/>
  <c r="D191" i="39" s="1"/>
  <c r="D184" i="40" s="1"/>
  <c r="D178" i="38"/>
  <c r="D192" i="39" s="1"/>
  <c r="D185" i="40" s="1"/>
  <c r="D179" i="38"/>
  <c r="D193" i="39" s="1"/>
  <c r="D186" i="40" s="1"/>
  <c r="D180" i="38"/>
  <c r="D194" i="39" s="1"/>
  <c r="D187" i="40" s="1"/>
  <c r="D181" i="38"/>
  <c r="D195" i="39" s="1"/>
  <c r="D188" i="40" s="1"/>
  <c r="D182" i="38"/>
  <c r="D196" i="39" s="1"/>
  <c r="D189" i="40" s="1"/>
  <c r="D183" i="38"/>
  <c r="D197" i="39" s="1"/>
  <c r="D190" i="40" s="1"/>
  <c r="D184" i="38"/>
  <c r="D198" i="39" s="1"/>
  <c r="D191" i="40" s="1"/>
  <c r="D185" i="38"/>
  <c r="D199" i="39" s="1"/>
  <c r="D192" i="40" s="1"/>
  <c r="D186" i="38"/>
  <c r="D200" i="39" s="1"/>
  <c r="D193" i="40" s="1"/>
  <c r="D187" i="38"/>
  <c r="D201" i="39" s="1"/>
  <c r="D194" i="40" s="1"/>
  <c r="D188" i="38"/>
  <c r="D202" i="39" s="1"/>
  <c r="D195" i="40" s="1"/>
  <c r="D189" i="38"/>
  <c r="D203" i="39" s="1"/>
  <c r="D196" i="40" s="1"/>
  <c r="D190" i="38"/>
  <c r="D204" i="39" s="1"/>
  <c r="D197" i="40" s="1"/>
  <c r="D191" i="38"/>
  <c r="D205" i="39" s="1"/>
  <c r="D198" i="40" s="1"/>
  <c r="D192" i="38"/>
  <c r="D206" i="39" s="1"/>
  <c r="D199" i="40" s="1"/>
  <c r="D193" i="38"/>
  <c r="D207" i="39" s="1"/>
  <c r="D200" i="40" s="1"/>
  <c r="D194" i="38"/>
  <c r="D208" i="39" s="1"/>
  <c r="D201" i="40" s="1"/>
  <c r="D195" i="38"/>
  <c r="D209" i="39" s="1"/>
  <c r="D202" i="40" s="1"/>
  <c r="D196" i="38"/>
  <c r="D210" i="39" s="1"/>
  <c r="D203" i="40" s="1"/>
  <c r="D197" i="38"/>
  <c r="D211" i="39" s="1"/>
  <c r="D204" i="40" s="1"/>
  <c r="D198" i="38"/>
  <c r="D212" i="39" s="1"/>
  <c r="D205" i="40" s="1"/>
  <c r="D199" i="38"/>
  <c r="D213" i="39" s="1"/>
  <c r="D206" i="40" s="1"/>
  <c r="D200" i="38"/>
  <c r="D214" i="39" s="1"/>
  <c r="D207" i="40" s="1"/>
  <c r="D201" i="38"/>
  <c r="D215" i="39" s="1"/>
  <c r="D208" i="40" s="1"/>
  <c r="D202" i="38"/>
  <c r="D216" i="39" s="1"/>
  <c r="D209" i="40" s="1"/>
  <c r="D203" i="38"/>
  <c r="D217" i="39" s="1"/>
  <c r="D210" i="40" s="1"/>
  <c r="D204" i="38"/>
  <c r="D218" i="39" s="1"/>
  <c r="D211" i="40" s="1"/>
  <c r="D205" i="38"/>
  <c r="D219" i="39" s="1"/>
  <c r="D212" i="40" s="1"/>
  <c r="D206" i="38"/>
  <c r="D220" i="39" s="1"/>
  <c r="D213" i="40" s="1"/>
  <c r="D207" i="38"/>
  <c r="D221" i="39" s="1"/>
  <c r="D214" i="40" s="1"/>
  <c r="D208" i="38"/>
  <c r="D222" i="39" s="1"/>
  <c r="D215" i="40" s="1"/>
  <c r="D209" i="38"/>
  <c r="D223" i="39" s="1"/>
  <c r="D216" i="40" s="1"/>
  <c r="D210" i="38"/>
  <c r="D224" i="39" s="1"/>
  <c r="D217" i="40" s="1"/>
  <c r="D211" i="38"/>
  <c r="D225" i="39" s="1"/>
  <c r="D218" i="40" s="1"/>
  <c r="D212" i="38"/>
  <c r="D226" i="39" s="1"/>
  <c r="D219" i="40" s="1"/>
  <c r="D213" i="38"/>
  <c r="D227" i="39" s="1"/>
  <c r="D220" i="40" s="1"/>
  <c r="D214" i="38"/>
  <c r="D228" i="39" s="1"/>
  <c r="D221" i="40" s="1"/>
  <c r="D215" i="38"/>
  <c r="D229" i="39" s="1"/>
  <c r="D222" i="40" s="1"/>
  <c r="D216" i="38"/>
  <c r="D230" i="39" s="1"/>
  <c r="D223" i="40" s="1"/>
  <c r="D217" i="38"/>
  <c r="D231" i="39" s="1"/>
  <c r="D224" i="40" s="1"/>
  <c r="D218" i="38"/>
  <c r="D232" i="39" s="1"/>
  <c r="D225" i="40" s="1"/>
  <c r="D219" i="38"/>
  <c r="D233" i="39" s="1"/>
  <c r="D226" i="40" s="1"/>
  <c r="D220" i="38"/>
  <c r="D234" i="39" s="1"/>
  <c r="D227" i="40" s="1"/>
  <c r="D221" i="38"/>
  <c r="D235" i="39" s="1"/>
  <c r="D228" i="40" s="1"/>
  <c r="D222" i="38"/>
  <c r="D236" i="39" s="1"/>
  <c r="D229" i="40" s="1"/>
  <c r="D223" i="38"/>
  <c r="D237" i="39" s="1"/>
  <c r="D230" i="40" s="1"/>
  <c r="D224" i="38"/>
  <c r="D238" i="39" s="1"/>
  <c r="D231" i="40" s="1"/>
  <c r="D225" i="38"/>
  <c r="D239" i="39" s="1"/>
  <c r="D232" i="40" s="1"/>
  <c r="D226" i="38"/>
  <c r="D240" i="39" s="1"/>
  <c r="D233" i="40" s="1"/>
  <c r="D227" i="38"/>
  <c r="D241" i="39" s="1"/>
  <c r="D234" i="40" s="1"/>
  <c r="D228" i="38"/>
  <c r="D242" i="39" s="1"/>
  <c r="D235" i="40" s="1"/>
  <c r="D229" i="38"/>
  <c r="D243" i="39" s="1"/>
  <c r="D236" i="40" s="1"/>
  <c r="D230" i="38"/>
  <c r="D244" i="39" s="1"/>
  <c r="D237" i="40" s="1"/>
  <c r="D231" i="38"/>
  <c r="D245" i="39" s="1"/>
  <c r="D238" i="40" s="1"/>
  <c r="D232" i="38"/>
  <c r="D246" i="39" s="1"/>
  <c r="D239" i="40" s="1"/>
  <c r="D233" i="38"/>
  <c r="D247" i="39" s="1"/>
  <c r="D240" i="40" s="1"/>
  <c r="D234" i="38"/>
  <c r="D248" i="39" s="1"/>
  <c r="D241" i="40" s="1"/>
  <c r="D235" i="38"/>
  <c r="D249" i="39" s="1"/>
  <c r="D242" i="40" s="1"/>
  <c r="D236" i="38"/>
  <c r="D250" i="39" s="1"/>
  <c r="D243" i="40" s="1"/>
  <c r="D237" i="38"/>
  <c r="D251" i="39" s="1"/>
  <c r="D244" i="40" s="1"/>
  <c r="D238" i="38"/>
  <c r="D252" i="39" s="1"/>
  <c r="D245" i="40" s="1"/>
  <c r="D239" i="38"/>
  <c r="D253" i="39" s="1"/>
  <c r="D246" i="40" s="1"/>
  <c r="D240" i="38"/>
  <c r="D254" i="39" s="1"/>
  <c r="D247" i="40" s="1"/>
  <c r="D241" i="38"/>
  <c r="D255" i="39" s="1"/>
  <c r="D248" i="40" s="1"/>
  <c r="D242" i="38"/>
  <c r="D256" i="39" s="1"/>
  <c r="D249" i="40" s="1"/>
  <c r="D243" i="38"/>
  <c r="D257" i="39" s="1"/>
  <c r="D250" i="40" s="1"/>
  <c r="D244" i="38"/>
  <c r="D258" i="39" s="1"/>
  <c r="D251" i="40" s="1"/>
  <c r="D245" i="38"/>
  <c r="D259" i="39" s="1"/>
  <c r="D252" i="40" s="1"/>
  <c r="D246" i="38"/>
  <c r="D260" i="39" s="1"/>
  <c r="D253" i="40" s="1"/>
  <c r="D247" i="38"/>
  <c r="D261" i="39" s="1"/>
  <c r="D254" i="40" s="1"/>
  <c r="D248" i="38"/>
  <c r="D262" i="39" s="1"/>
  <c r="D255" i="40" s="1"/>
  <c r="D249" i="38"/>
  <c r="D263" i="39" s="1"/>
  <c r="D256" i="40" s="1"/>
  <c r="D250" i="38"/>
  <c r="D264" i="39" s="1"/>
  <c r="D257" i="40" s="1"/>
  <c r="D251" i="38"/>
  <c r="D265" i="39" s="1"/>
  <c r="D258" i="40" s="1"/>
  <c r="D252" i="38"/>
  <c r="D266" i="39" s="1"/>
  <c r="D259" i="40" s="1"/>
  <c r="D253" i="38"/>
  <c r="D267" i="39" s="1"/>
  <c r="D260" i="40" s="1"/>
  <c r="D254" i="38"/>
  <c r="D268" i="39" s="1"/>
  <c r="D261" i="40" s="1"/>
  <c r="D255" i="38"/>
  <c r="D269" i="39" s="1"/>
  <c r="D262" i="40" s="1"/>
  <c r="D256" i="38"/>
  <c r="D270" i="39" s="1"/>
  <c r="D263" i="40" s="1"/>
  <c r="D257" i="38"/>
  <c r="D271" i="39" s="1"/>
  <c r="D264" i="40" s="1"/>
  <c r="D258" i="38"/>
  <c r="D272" i="39" s="1"/>
  <c r="D265" i="40" s="1"/>
  <c r="D259" i="38"/>
  <c r="D273" i="39" s="1"/>
  <c r="D266" i="40" s="1"/>
  <c r="D260" i="38"/>
  <c r="D274" i="39" s="1"/>
  <c r="D267" i="40" s="1"/>
  <c r="D261" i="38"/>
  <c r="D275" i="39" s="1"/>
  <c r="D268" i="40" s="1"/>
  <c r="D262" i="38"/>
  <c r="D276" i="39" s="1"/>
  <c r="D269" i="40" s="1"/>
  <c r="D263" i="38"/>
  <c r="D277" i="39" s="1"/>
  <c r="D270" i="40" s="1"/>
  <c r="D264" i="38"/>
  <c r="D278" i="39" s="1"/>
  <c r="D271" i="40" s="1"/>
  <c r="D265" i="38"/>
  <c r="D279" i="39" s="1"/>
  <c r="D272" i="40" s="1"/>
  <c r="D266" i="38"/>
  <c r="D280" i="39" s="1"/>
  <c r="D273" i="40" s="1"/>
  <c r="D267" i="38"/>
  <c r="D281" i="39" s="1"/>
  <c r="D274" i="40" s="1"/>
  <c r="D268" i="38"/>
  <c r="D282" i="39" s="1"/>
  <c r="D275" i="40" s="1"/>
  <c r="D269" i="38"/>
  <c r="D283" i="39" s="1"/>
  <c r="D276" i="40" s="1"/>
  <c r="D270" i="38"/>
  <c r="D284" i="39" s="1"/>
  <c r="D277" i="40" s="1"/>
  <c r="D271" i="38"/>
  <c r="D285" i="39" s="1"/>
  <c r="D278" i="40" s="1"/>
  <c r="D272" i="38"/>
  <c r="D286" i="39" s="1"/>
  <c r="D279" i="40" s="1"/>
  <c r="D273" i="38"/>
  <c r="D287" i="39" s="1"/>
  <c r="D280" i="40" s="1"/>
  <c r="D274" i="38"/>
  <c r="D288" i="39" s="1"/>
  <c r="D281" i="40" s="1"/>
  <c r="D275" i="38"/>
  <c r="D289" i="39" s="1"/>
  <c r="D282" i="40" s="1"/>
  <c r="D276" i="38"/>
  <c r="D290" i="39" s="1"/>
  <c r="D283" i="40" s="1"/>
  <c r="D277" i="38"/>
  <c r="D291" i="39" s="1"/>
  <c r="D284" i="40" s="1"/>
  <c r="D278" i="38"/>
  <c r="D292" i="39" s="1"/>
  <c r="D285" i="40" s="1"/>
  <c r="D279" i="38"/>
  <c r="D293" i="39" s="1"/>
  <c r="D286" i="40" s="1"/>
  <c r="D280" i="38"/>
  <c r="D294" i="39" s="1"/>
  <c r="D287" i="40" s="1"/>
  <c r="D281" i="38"/>
  <c r="D295" i="39" s="1"/>
  <c r="D288" i="40" s="1"/>
  <c r="D282" i="38"/>
  <c r="D296" i="39" s="1"/>
  <c r="D289" i="40" s="1"/>
  <c r="D283" i="38"/>
  <c r="D297" i="39" s="1"/>
  <c r="D290" i="40" s="1"/>
  <c r="D284" i="38"/>
  <c r="D298" i="39" s="1"/>
  <c r="D291" i="40" s="1"/>
  <c r="D285" i="38"/>
  <c r="D299" i="39" s="1"/>
  <c r="D292" i="40" s="1"/>
  <c r="D286" i="38"/>
  <c r="D300" i="39" s="1"/>
  <c r="D293" i="40" s="1"/>
  <c r="D287" i="38"/>
  <c r="D301" i="39" s="1"/>
  <c r="D294" i="40" s="1"/>
  <c r="D288" i="38"/>
  <c r="D302" i="39" s="1"/>
  <c r="D295" i="40" s="1"/>
  <c r="D289" i="38"/>
  <c r="D303" i="39" s="1"/>
  <c r="D296" i="40" s="1"/>
  <c r="D290" i="38"/>
  <c r="D304" i="39" s="1"/>
  <c r="D297" i="40" s="1"/>
  <c r="D291" i="38"/>
  <c r="D298" i="40" s="1"/>
  <c r="C96" i="38"/>
  <c r="C110" i="39" s="1"/>
  <c r="C103" i="40" s="1"/>
  <c r="C97" i="38"/>
  <c r="C111" i="39" s="1"/>
  <c r="C104" i="40" s="1"/>
  <c r="C98" i="38"/>
  <c r="C112" i="39" s="1"/>
  <c r="C105" i="40" s="1"/>
  <c r="C99" i="38"/>
  <c r="C113" i="39" s="1"/>
  <c r="C106" i="40" s="1"/>
  <c r="C100" i="38"/>
  <c r="C114" i="39" s="1"/>
  <c r="C107" i="40" s="1"/>
  <c r="C101" i="38"/>
  <c r="C115" i="39" s="1"/>
  <c r="C108" i="40" s="1"/>
  <c r="C102" i="38"/>
  <c r="C116" i="39" s="1"/>
  <c r="C109" i="40" s="1"/>
  <c r="C103" i="38"/>
  <c r="C117" i="39" s="1"/>
  <c r="C110" i="40" s="1"/>
  <c r="C104" i="38"/>
  <c r="C118" i="39" s="1"/>
  <c r="C111" i="40" s="1"/>
  <c r="C105" i="38"/>
  <c r="C119" i="39" s="1"/>
  <c r="C112" i="40" s="1"/>
  <c r="C106" i="38"/>
  <c r="C120" i="39" s="1"/>
  <c r="C113" i="40" s="1"/>
  <c r="C107" i="38"/>
  <c r="C121" i="39" s="1"/>
  <c r="C114" i="40" s="1"/>
  <c r="C108" i="38"/>
  <c r="C122" i="39" s="1"/>
  <c r="C115" i="40" s="1"/>
  <c r="C109" i="38"/>
  <c r="C123" i="39" s="1"/>
  <c r="C116" i="40" s="1"/>
  <c r="C110" i="38"/>
  <c r="C124" i="39" s="1"/>
  <c r="C117" i="40" s="1"/>
  <c r="C111" i="38"/>
  <c r="C125" i="39" s="1"/>
  <c r="C118" i="40" s="1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67" i="38"/>
  <c r="C68" i="38"/>
  <c r="C56" i="38"/>
  <c r="C57" i="38"/>
  <c r="C58" i="38"/>
  <c r="C59" i="38"/>
  <c r="C60" i="38"/>
  <c r="C61" i="38"/>
  <c r="C62" i="38"/>
  <c r="C63" i="38"/>
  <c r="C64" i="38"/>
  <c r="C65" i="38"/>
  <c r="C66" i="38"/>
  <c r="C45" i="38"/>
  <c r="C46" i="38"/>
  <c r="C47" i="38"/>
  <c r="C48" i="38"/>
  <c r="C49" i="38"/>
  <c r="C50" i="38"/>
  <c r="C51" i="38"/>
  <c r="C52" i="38"/>
  <c r="C53" i="38"/>
  <c r="C54" i="38"/>
  <c r="C55" i="38"/>
  <c r="C44" i="38"/>
  <c r="C42" i="38"/>
  <c r="C57" i="39" s="1"/>
  <c r="C50" i="40" s="1"/>
  <c r="E233" i="14" l="1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D250" i="15"/>
  <c r="E120" i="40" s="1"/>
  <c r="D251" i="15"/>
  <c r="E121" i="40" s="1"/>
  <c r="D252" i="15"/>
  <c r="E122" i="40" s="1"/>
  <c r="D253" i="15"/>
  <c r="E123" i="40" s="1"/>
  <c r="D254" i="15"/>
  <c r="E124" i="40" s="1"/>
  <c r="D255" i="15"/>
  <c r="E125" i="40" s="1"/>
  <c r="D256" i="15"/>
  <c r="E126" i="40" s="1"/>
  <c r="D257" i="15"/>
  <c r="E127" i="40" s="1"/>
  <c r="D258" i="15"/>
  <c r="E128" i="40" s="1"/>
  <c r="D259" i="15"/>
  <c r="E129" i="40" s="1"/>
  <c r="D260" i="15"/>
  <c r="E130" i="40" s="1"/>
  <c r="D261" i="15"/>
  <c r="E131" i="40" s="1"/>
  <c r="D262" i="15"/>
  <c r="E132" i="40" s="1"/>
  <c r="D263" i="15"/>
  <c r="E133" i="40" s="1"/>
  <c r="D264" i="15"/>
  <c r="E134" i="40" s="1"/>
  <c r="D265" i="15"/>
  <c r="E135" i="40" s="1"/>
  <c r="D266" i="15"/>
  <c r="E136" i="40" s="1"/>
  <c r="D267" i="15"/>
  <c r="E137" i="40" s="1"/>
  <c r="D268" i="15"/>
  <c r="E138" i="40" s="1"/>
  <c r="D269" i="15"/>
  <c r="E139" i="40" s="1"/>
  <c r="D270" i="15"/>
  <c r="E140" i="40" s="1"/>
  <c r="D271" i="15"/>
  <c r="E141" i="40" s="1"/>
  <c r="D272" i="15"/>
  <c r="E142" i="40" s="1"/>
  <c r="D273" i="15"/>
  <c r="E143" i="40" s="1"/>
  <c r="D274" i="15"/>
  <c r="E144" i="40" s="1"/>
  <c r="D275" i="15"/>
  <c r="E145" i="40" s="1"/>
  <c r="D276" i="15"/>
  <c r="E146" i="40" s="1"/>
  <c r="D277" i="15"/>
  <c r="E147" i="40" s="1"/>
  <c r="D278" i="15"/>
  <c r="E148" i="40" s="1"/>
  <c r="D279" i="15"/>
  <c r="E149" i="40" s="1"/>
  <c r="D280" i="15"/>
  <c r="E150" i="40" s="1"/>
  <c r="D281" i="15"/>
  <c r="E151" i="40" s="1"/>
  <c r="D282" i="15"/>
  <c r="E152" i="40" s="1"/>
  <c r="D283" i="15"/>
  <c r="E153" i="40" s="1"/>
  <c r="D284" i="15"/>
  <c r="E154" i="40" s="1"/>
  <c r="D285" i="15"/>
  <c r="E155" i="40" s="1"/>
  <c r="D286" i="15"/>
  <c r="E156" i="40" s="1"/>
  <c r="D287" i="15"/>
  <c r="E157" i="40" s="1"/>
  <c r="D288" i="15"/>
  <c r="E158" i="40" s="1"/>
  <c r="D289" i="15"/>
  <c r="E159" i="40" s="1"/>
  <c r="D290" i="15"/>
  <c r="E160" i="40" s="1"/>
  <c r="D291" i="15"/>
  <c r="E161" i="40" s="1"/>
  <c r="D292" i="15"/>
  <c r="E162" i="40" s="1"/>
  <c r="D293" i="15"/>
  <c r="E163" i="40" s="1"/>
  <c r="D294" i="15"/>
  <c r="E164" i="40" s="1"/>
  <c r="D295" i="15"/>
  <c r="E165" i="40" s="1"/>
  <c r="D296" i="15"/>
  <c r="E166" i="40" s="1"/>
  <c r="D297" i="15"/>
  <c r="E167" i="40" s="1"/>
  <c r="D298" i="15"/>
  <c r="E168" i="40" s="1"/>
  <c r="D299" i="15"/>
  <c r="E169" i="40" s="1"/>
  <c r="D300" i="15"/>
  <c r="E170" i="40" s="1"/>
  <c r="D301" i="15"/>
  <c r="E171" i="40" s="1"/>
  <c r="D302" i="15"/>
  <c r="E172" i="40" s="1"/>
  <c r="D303" i="15"/>
  <c r="E173" i="40" s="1"/>
  <c r="D304" i="15"/>
  <c r="E174" i="40" s="1"/>
  <c r="D305" i="15"/>
  <c r="E175" i="40" s="1"/>
  <c r="D306" i="15"/>
  <c r="E176" i="40" s="1"/>
  <c r="D307" i="15"/>
  <c r="E177" i="40" s="1"/>
  <c r="D308" i="15"/>
  <c r="E178" i="40" s="1"/>
  <c r="D309" i="15"/>
  <c r="E179" i="40" s="1"/>
  <c r="D310" i="15"/>
  <c r="E180" i="40" s="1"/>
  <c r="D311" i="15"/>
  <c r="E181" i="40" s="1"/>
  <c r="D312" i="15"/>
  <c r="E182" i="40" s="1"/>
  <c r="D313" i="15"/>
  <c r="E183" i="40" s="1"/>
  <c r="D314" i="15"/>
  <c r="E184" i="40" s="1"/>
  <c r="D315" i="15"/>
  <c r="E185" i="40" s="1"/>
  <c r="D316" i="15"/>
  <c r="E186" i="40" s="1"/>
  <c r="D317" i="15"/>
  <c r="E187" i="40" s="1"/>
  <c r="D318" i="15"/>
  <c r="E188" i="40" s="1"/>
  <c r="D319" i="15"/>
  <c r="E189" i="40" s="1"/>
  <c r="D320" i="15"/>
  <c r="E190" i="40" s="1"/>
  <c r="D321" i="15"/>
  <c r="E191" i="40" s="1"/>
  <c r="D322" i="15"/>
  <c r="E192" i="40" s="1"/>
  <c r="D323" i="15"/>
  <c r="E193" i="40" s="1"/>
  <c r="D324" i="15"/>
  <c r="E194" i="40" s="1"/>
  <c r="D325" i="15"/>
  <c r="E195" i="40" s="1"/>
  <c r="D326" i="15"/>
  <c r="E196" i="40" s="1"/>
  <c r="D327" i="15"/>
  <c r="E197" i="40" s="1"/>
  <c r="D328" i="15"/>
  <c r="E198" i="40" s="1"/>
  <c r="D329" i="15"/>
  <c r="E199" i="40" s="1"/>
  <c r="D330" i="15"/>
  <c r="E200" i="40" s="1"/>
  <c r="D331" i="15"/>
  <c r="E201" i="40" s="1"/>
  <c r="D332" i="15"/>
  <c r="E202" i="40" s="1"/>
  <c r="D333" i="15"/>
  <c r="E203" i="40" s="1"/>
  <c r="D334" i="15"/>
  <c r="E204" i="40" s="1"/>
  <c r="D335" i="15"/>
  <c r="E205" i="40" s="1"/>
  <c r="D336" i="15"/>
  <c r="E206" i="40" s="1"/>
  <c r="D337" i="15"/>
  <c r="E207" i="40" s="1"/>
  <c r="D338" i="15"/>
  <c r="E208" i="40" s="1"/>
  <c r="D339" i="15"/>
  <c r="E209" i="40" s="1"/>
  <c r="D340" i="15"/>
  <c r="E210" i="40" s="1"/>
  <c r="D341" i="15"/>
  <c r="E211" i="40" s="1"/>
  <c r="D342" i="15"/>
  <c r="E212" i="40" s="1"/>
  <c r="D343" i="15"/>
  <c r="E213" i="40" s="1"/>
  <c r="D344" i="15"/>
  <c r="E214" i="40" s="1"/>
  <c r="D345" i="15"/>
  <c r="E215" i="40" s="1"/>
  <c r="D346" i="15"/>
  <c r="E216" i="40" s="1"/>
  <c r="D347" i="15"/>
  <c r="E217" i="40" s="1"/>
  <c r="D348" i="15"/>
  <c r="E218" i="40" s="1"/>
  <c r="D349" i="15"/>
  <c r="E219" i="40" s="1"/>
  <c r="D350" i="15"/>
  <c r="E220" i="40" s="1"/>
  <c r="D351" i="15"/>
  <c r="E221" i="40" s="1"/>
  <c r="D352" i="15"/>
  <c r="E222" i="40" s="1"/>
  <c r="D353" i="15"/>
  <c r="E223" i="40" s="1"/>
  <c r="D354" i="15"/>
  <c r="E224" i="40" s="1"/>
  <c r="D355" i="15"/>
  <c r="E225" i="40" s="1"/>
  <c r="D356" i="15"/>
  <c r="E226" i="40" s="1"/>
  <c r="D357" i="15"/>
  <c r="E227" i="40" s="1"/>
  <c r="D358" i="15"/>
  <c r="E228" i="40" s="1"/>
  <c r="D359" i="15"/>
  <c r="E229" i="40" s="1"/>
  <c r="D360" i="15"/>
  <c r="E230" i="40" s="1"/>
  <c r="D361" i="15"/>
  <c r="E231" i="40" s="1"/>
  <c r="D362" i="15"/>
  <c r="E232" i="40" s="1"/>
  <c r="D363" i="15"/>
  <c r="E233" i="40" s="1"/>
  <c r="D364" i="15"/>
  <c r="E234" i="40" s="1"/>
  <c r="D365" i="15"/>
  <c r="E235" i="40" s="1"/>
  <c r="D366" i="15"/>
  <c r="E236" i="40" s="1"/>
  <c r="D367" i="15"/>
  <c r="E237" i="40" s="1"/>
  <c r="D368" i="15"/>
  <c r="E238" i="40" s="1"/>
  <c r="D369" i="15"/>
  <c r="E239" i="40" s="1"/>
  <c r="D370" i="15"/>
  <c r="E240" i="40" s="1"/>
  <c r="D371" i="15"/>
  <c r="E241" i="40" s="1"/>
  <c r="D372" i="15"/>
  <c r="E242" i="40" s="1"/>
  <c r="D373" i="15"/>
  <c r="E243" i="40" s="1"/>
  <c r="D374" i="15"/>
  <c r="E244" i="40" s="1"/>
  <c r="D375" i="15"/>
  <c r="E245" i="40" s="1"/>
  <c r="D376" i="15"/>
  <c r="E246" i="40" s="1"/>
  <c r="D377" i="15"/>
  <c r="E247" i="40" s="1"/>
  <c r="D378" i="15"/>
  <c r="E248" i="40" s="1"/>
  <c r="D379" i="15"/>
  <c r="E249" i="40" s="1"/>
  <c r="D380" i="15"/>
  <c r="E250" i="40" s="1"/>
  <c r="D381" i="15"/>
  <c r="E251" i="40" s="1"/>
  <c r="D382" i="15"/>
  <c r="E252" i="40" s="1"/>
  <c r="D383" i="15"/>
  <c r="E253" i="40" s="1"/>
  <c r="D384" i="15"/>
  <c r="E254" i="40" s="1"/>
  <c r="D385" i="15"/>
  <c r="E255" i="40" s="1"/>
  <c r="D386" i="15"/>
  <c r="E256" i="40" s="1"/>
  <c r="D387" i="15"/>
  <c r="E257" i="40" s="1"/>
  <c r="D388" i="15"/>
  <c r="E258" i="40" s="1"/>
  <c r="D389" i="15"/>
  <c r="E259" i="40" s="1"/>
  <c r="D390" i="15"/>
  <c r="E260" i="40" s="1"/>
  <c r="D391" i="15"/>
  <c r="E261" i="40" s="1"/>
  <c r="D392" i="15"/>
  <c r="E262" i="40" s="1"/>
  <c r="D393" i="15"/>
  <c r="E263" i="40" s="1"/>
  <c r="D394" i="15"/>
  <c r="E264" i="40" s="1"/>
  <c r="D395" i="15"/>
  <c r="E265" i="40" s="1"/>
  <c r="D396" i="15"/>
  <c r="E266" i="40" s="1"/>
  <c r="D397" i="15"/>
  <c r="E267" i="40" s="1"/>
  <c r="D398" i="15"/>
  <c r="E268" i="40" s="1"/>
  <c r="D399" i="15"/>
  <c r="E269" i="40" s="1"/>
  <c r="D400" i="15"/>
  <c r="E270" i="40" s="1"/>
  <c r="D401" i="15"/>
  <c r="E271" i="40" s="1"/>
  <c r="D402" i="15"/>
  <c r="E272" i="40" s="1"/>
  <c r="D403" i="15"/>
  <c r="E273" i="40" s="1"/>
  <c r="D404" i="15"/>
  <c r="E274" i="40" s="1"/>
  <c r="D405" i="15"/>
  <c r="E275" i="40" s="1"/>
  <c r="D406" i="15"/>
  <c r="E276" i="40" s="1"/>
  <c r="D407" i="15"/>
  <c r="E277" i="40" s="1"/>
  <c r="D408" i="15"/>
  <c r="E278" i="40" s="1"/>
  <c r="D409" i="15"/>
  <c r="E279" i="40" s="1"/>
  <c r="D410" i="15"/>
  <c r="E280" i="40" s="1"/>
  <c r="D411" i="15"/>
  <c r="E281" i="40" s="1"/>
  <c r="D412" i="15"/>
  <c r="E282" i="40" s="1"/>
  <c r="D413" i="15"/>
  <c r="E283" i="40" s="1"/>
  <c r="D414" i="15"/>
  <c r="E284" i="40" s="1"/>
  <c r="D415" i="15"/>
  <c r="E285" i="40" s="1"/>
  <c r="D416" i="15"/>
  <c r="E286" i="40" s="1"/>
  <c r="D417" i="15"/>
  <c r="E287" i="40" s="1"/>
  <c r="D418" i="15"/>
  <c r="E288" i="40" s="1"/>
  <c r="D419" i="15"/>
  <c r="E289" i="40" s="1"/>
  <c r="D420" i="15"/>
  <c r="E290" i="40" s="1"/>
  <c r="D421" i="15"/>
  <c r="E291" i="40" s="1"/>
  <c r="D422" i="15"/>
  <c r="E292" i="40" s="1"/>
  <c r="D423" i="15"/>
  <c r="E293" i="40" s="1"/>
  <c r="D424" i="15"/>
  <c r="E294" i="40" s="1"/>
  <c r="D425" i="15"/>
  <c r="E295" i="40" s="1"/>
  <c r="D426" i="15"/>
  <c r="E296" i="40" s="1"/>
  <c r="D427" i="15"/>
  <c r="E297" i="40" s="1"/>
  <c r="D428" i="15"/>
  <c r="E298" i="40" s="1"/>
  <c r="D248" i="15"/>
  <c r="D247" i="15"/>
  <c r="A248" i="15"/>
  <c r="B248" i="15"/>
  <c r="B247" i="15"/>
  <c r="A247" i="15"/>
  <c r="E231" i="14"/>
  <c r="E248" i="15" s="1"/>
  <c r="F248" i="15" s="1"/>
  <c r="E230" i="14"/>
  <c r="B230" i="14"/>
  <c r="B231" i="14"/>
  <c r="A231" i="14"/>
  <c r="A230" i="14"/>
  <c r="E216" i="14"/>
  <c r="E233" i="15" s="1"/>
  <c r="E217" i="14"/>
  <c r="E234" i="15" s="1"/>
  <c r="E218" i="14"/>
  <c r="E235" i="15" s="1"/>
  <c r="E219" i="14"/>
  <c r="E236" i="15" s="1"/>
  <c r="E220" i="14"/>
  <c r="E237" i="15" s="1"/>
  <c r="E221" i="14"/>
  <c r="E238" i="15" s="1"/>
  <c r="E222" i="14"/>
  <c r="E239" i="15" s="1"/>
  <c r="E223" i="14"/>
  <c r="E240" i="15" s="1"/>
  <c r="E224" i="14"/>
  <c r="E241" i="15" s="1"/>
  <c r="E225" i="14"/>
  <c r="E242" i="15" s="1"/>
  <c r="E226" i="14"/>
  <c r="E243" i="15" s="1"/>
  <c r="E227" i="14"/>
  <c r="E244" i="15" s="1"/>
  <c r="E228" i="14"/>
  <c r="E245" i="15" s="1"/>
  <c r="E229" i="14"/>
  <c r="E246" i="15" s="1"/>
  <c r="E247" i="15" l="1"/>
  <c r="F247" i="15" s="1"/>
  <c r="E250" i="15"/>
  <c r="F250" i="15" s="1"/>
  <c r="E251" i="15"/>
  <c r="E252" i="15"/>
  <c r="F252" i="15" s="1"/>
  <c r="E253" i="15"/>
  <c r="F253" i="15" s="1"/>
  <c r="E254" i="15"/>
  <c r="F254" i="15" s="1"/>
  <c r="E255" i="15"/>
  <c r="E256" i="15"/>
  <c r="F256" i="15" s="1"/>
  <c r="E257" i="15"/>
  <c r="F257" i="15" s="1"/>
  <c r="E258" i="15"/>
  <c r="F258" i="15" s="1"/>
  <c r="E259" i="15"/>
  <c r="E260" i="15"/>
  <c r="F260" i="15" s="1"/>
  <c r="E261" i="15"/>
  <c r="F261" i="15" s="1"/>
  <c r="E262" i="15"/>
  <c r="F262" i="15" s="1"/>
  <c r="E263" i="15"/>
  <c r="E264" i="15"/>
  <c r="F264" i="15" s="1"/>
  <c r="E265" i="15"/>
  <c r="F265" i="15" s="1"/>
  <c r="E266" i="15"/>
  <c r="F266" i="15" s="1"/>
  <c r="E267" i="15"/>
  <c r="E268" i="15"/>
  <c r="F268" i="15" s="1"/>
  <c r="E269" i="15"/>
  <c r="F269" i="15" s="1"/>
  <c r="E270" i="15"/>
  <c r="F270" i="15" s="1"/>
  <c r="E271" i="15"/>
  <c r="E272" i="15"/>
  <c r="F272" i="15" s="1"/>
  <c r="E273" i="15"/>
  <c r="F273" i="15" s="1"/>
  <c r="E274" i="15"/>
  <c r="F274" i="15" s="1"/>
  <c r="E275" i="15"/>
  <c r="E276" i="15"/>
  <c r="F276" i="15" s="1"/>
  <c r="E277" i="15"/>
  <c r="F277" i="15" s="1"/>
  <c r="E278" i="15"/>
  <c r="F278" i="15" s="1"/>
  <c r="E279" i="15"/>
  <c r="E280" i="15"/>
  <c r="F280" i="15" s="1"/>
  <c r="E281" i="15"/>
  <c r="F281" i="15" s="1"/>
  <c r="E282" i="15"/>
  <c r="F282" i="15" s="1"/>
  <c r="E283" i="15"/>
  <c r="E284" i="15"/>
  <c r="F284" i="15" s="1"/>
  <c r="E285" i="15"/>
  <c r="F285" i="15" s="1"/>
  <c r="E286" i="15"/>
  <c r="F286" i="15" s="1"/>
  <c r="E287" i="15"/>
  <c r="E288" i="15"/>
  <c r="F288" i="15" s="1"/>
  <c r="E289" i="15"/>
  <c r="F289" i="15" s="1"/>
  <c r="E290" i="15"/>
  <c r="F290" i="15" s="1"/>
  <c r="E291" i="15"/>
  <c r="E292" i="15"/>
  <c r="F292" i="15" s="1"/>
  <c r="E293" i="15"/>
  <c r="F293" i="15" s="1"/>
  <c r="E294" i="15"/>
  <c r="F294" i="15" s="1"/>
  <c r="E295" i="15"/>
  <c r="E296" i="15"/>
  <c r="F296" i="15" s="1"/>
  <c r="E297" i="15"/>
  <c r="F297" i="15" s="1"/>
  <c r="E298" i="15"/>
  <c r="F298" i="15" s="1"/>
  <c r="E299" i="15"/>
  <c r="E300" i="15"/>
  <c r="F300" i="15" s="1"/>
  <c r="E301" i="15"/>
  <c r="F301" i="15" s="1"/>
  <c r="E302" i="15"/>
  <c r="F302" i="15" s="1"/>
  <c r="E303" i="15"/>
  <c r="E304" i="15"/>
  <c r="F304" i="15" s="1"/>
  <c r="E305" i="15"/>
  <c r="F305" i="15" s="1"/>
  <c r="E306" i="15"/>
  <c r="F306" i="15" s="1"/>
  <c r="E307" i="15"/>
  <c r="E308" i="15"/>
  <c r="F308" i="15" s="1"/>
  <c r="E309" i="15"/>
  <c r="F309" i="15" s="1"/>
  <c r="E310" i="15"/>
  <c r="F310" i="15" s="1"/>
  <c r="E311" i="15"/>
  <c r="E312" i="15"/>
  <c r="F312" i="15" s="1"/>
  <c r="E313" i="15"/>
  <c r="F313" i="15" s="1"/>
  <c r="E314" i="15"/>
  <c r="F314" i="15" s="1"/>
  <c r="E315" i="15"/>
  <c r="E316" i="15"/>
  <c r="F316" i="15" s="1"/>
  <c r="E317" i="15"/>
  <c r="F317" i="15" s="1"/>
  <c r="E318" i="15"/>
  <c r="F318" i="15" s="1"/>
  <c r="E319" i="15"/>
  <c r="E320" i="15"/>
  <c r="F320" i="15" s="1"/>
  <c r="E321" i="15"/>
  <c r="F321" i="15" s="1"/>
  <c r="E322" i="15"/>
  <c r="F322" i="15" s="1"/>
  <c r="E323" i="15"/>
  <c r="E324" i="15"/>
  <c r="F324" i="15" s="1"/>
  <c r="E325" i="15"/>
  <c r="F325" i="15" s="1"/>
  <c r="E326" i="15"/>
  <c r="F326" i="15" s="1"/>
  <c r="E327" i="15"/>
  <c r="E328" i="15"/>
  <c r="F328" i="15" s="1"/>
  <c r="E329" i="15"/>
  <c r="F329" i="15" s="1"/>
  <c r="E330" i="15"/>
  <c r="F330" i="15" s="1"/>
  <c r="E331" i="15"/>
  <c r="E332" i="15"/>
  <c r="F332" i="15" s="1"/>
  <c r="E333" i="15"/>
  <c r="F333" i="15" s="1"/>
  <c r="E334" i="15"/>
  <c r="F334" i="15" s="1"/>
  <c r="E335" i="15"/>
  <c r="E336" i="15"/>
  <c r="F336" i="15" s="1"/>
  <c r="E337" i="15"/>
  <c r="F337" i="15" s="1"/>
  <c r="E338" i="15"/>
  <c r="F338" i="15" s="1"/>
  <c r="E339" i="15"/>
  <c r="E340" i="15"/>
  <c r="F340" i="15" s="1"/>
  <c r="E341" i="15"/>
  <c r="F341" i="15" s="1"/>
  <c r="E342" i="15"/>
  <c r="F342" i="15" s="1"/>
  <c r="E343" i="15"/>
  <c r="E344" i="15"/>
  <c r="F344" i="15" s="1"/>
  <c r="E345" i="15"/>
  <c r="F345" i="15" s="1"/>
  <c r="E346" i="15"/>
  <c r="F346" i="15" s="1"/>
  <c r="E347" i="15"/>
  <c r="E348" i="15"/>
  <c r="F348" i="15" s="1"/>
  <c r="E349" i="15"/>
  <c r="F349" i="15" s="1"/>
  <c r="E350" i="15"/>
  <c r="F350" i="15" s="1"/>
  <c r="E351" i="15"/>
  <c r="E352" i="15"/>
  <c r="F352" i="15" s="1"/>
  <c r="E353" i="15"/>
  <c r="F353" i="15" s="1"/>
  <c r="E354" i="15"/>
  <c r="F354" i="15" s="1"/>
  <c r="E355" i="15"/>
  <c r="E356" i="15"/>
  <c r="F356" i="15" s="1"/>
  <c r="E357" i="15"/>
  <c r="F357" i="15" s="1"/>
  <c r="E358" i="15"/>
  <c r="F358" i="15" s="1"/>
  <c r="E359" i="15"/>
  <c r="E360" i="15"/>
  <c r="F360" i="15" s="1"/>
  <c r="E361" i="15"/>
  <c r="F361" i="15" s="1"/>
  <c r="E362" i="15"/>
  <c r="F362" i="15" s="1"/>
  <c r="E363" i="15"/>
  <c r="E364" i="15"/>
  <c r="F364" i="15" s="1"/>
  <c r="E365" i="15"/>
  <c r="F365" i="15" s="1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F397" i="15" s="1"/>
  <c r="E398" i="15"/>
  <c r="F398" i="15" s="1"/>
  <c r="E399" i="15"/>
  <c r="E400" i="15"/>
  <c r="F400" i="15" s="1"/>
  <c r="E401" i="15"/>
  <c r="F401" i="15" s="1"/>
  <c r="E402" i="15"/>
  <c r="F402" i="15" s="1"/>
  <c r="E403" i="15"/>
  <c r="E404" i="15"/>
  <c r="F404" i="15" s="1"/>
  <c r="E405" i="15"/>
  <c r="F405" i="15" s="1"/>
  <c r="E406" i="15"/>
  <c r="F406" i="15" s="1"/>
  <c r="E407" i="15"/>
  <c r="E408" i="15"/>
  <c r="F408" i="15" s="1"/>
  <c r="E409" i="15"/>
  <c r="F409" i="15" s="1"/>
  <c r="E410" i="15"/>
  <c r="F410" i="15" s="1"/>
  <c r="E411" i="15"/>
  <c r="E412" i="15"/>
  <c r="F412" i="15" s="1"/>
  <c r="E413" i="15"/>
  <c r="F413" i="15" s="1"/>
  <c r="E414" i="15"/>
  <c r="F414" i="15" s="1"/>
  <c r="E415" i="15"/>
  <c r="E416" i="15"/>
  <c r="F416" i="15" s="1"/>
  <c r="E417" i="15"/>
  <c r="F417" i="15" s="1"/>
  <c r="E418" i="15"/>
  <c r="F418" i="15" s="1"/>
  <c r="E419" i="15"/>
  <c r="E420" i="15"/>
  <c r="F420" i="15" s="1"/>
  <c r="E421" i="15"/>
  <c r="E422" i="15"/>
  <c r="F422" i="15" s="1"/>
  <c r="E423" i="15"/>
  <c r="E424" i="15"/>
  <c r="F424" i="15" s="1"/>
  <c r="E425" i="15"/>
  <c r="E426" i="15"/>
  <c r="F426" i="15" s="1"/>
  <c r="E427" i="15"/>
  <c r="E428" i="15"/>
  <c r="F428" i="15" s="1"/>
  <c r="E249" i="15"/>
  <c r="F396" i="15"/>
  <c r="F251" i="15"/>
  <c r="F255" i="15"/>
  <c r="F259" i="15"/>
  <c r="F263" i="15"/>
  <c r="F267" i="15"/>
  <c r="F271" i="15"/>
  <c r="F275" i="15"/>
  <c r="F279" i="15"/>
  <c r="F283" i="15"/>
  <c r="F287" i="15"/>
  <c r="F291" i="15"/>
  <c r="F295" i="15"/>
  <c r="F299" i="15"/>
  <c r="F303" i="15"/>
  <c r="F307" i="15"/>
  <c r="F311" i="15"/>
  <c r="F315" i="15"/>
  <c r="F319" i="15"/>
  <c r="F323" i="15"/>
  <c r="F327" i="15"/>
  <c r="F331" i="15"/>
  <c r="F335" i="15"/>
  <c r="F339" i="15"/>
  <c r="F343" i="15"/>
  <c r="F347" i="15"/>
  <c r="F351" i="15"/>
  <c r="F355" i="15"/>
  <c r="F359" i="15"/>
  <c r="F363" i="15"/>
  <c r="D249" i="15"/>
  <c r="E119" i="40" s="1"/>
  <c r="D246" i="15"/>
  <c r="D244" i="15"/>
  <c r="D243" i="15"/>
  <c r="D241" i="15"/>
  <c r="D240" i="15"/>
  <c r="D235" i="15"/>
  <c r="D234" i="15"/>
  <c r="D226" i="14"/>
  <c r="E120" i="39" s="1"/>
  <c r="E215" i="14"/>
  <c r="E232" i="15" s="1"/>
  <c r="E232" i="14"/>
  <c r="E228" i="31"/>
  <c r="A407" i="31"/>
  <c r="C291" i="38" s="1"/>
  <c r="C305" i="39" s="1"/>
  <c r="C298" i="40" s="1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A391" i="31"/>
  <c r="C275" i="38" s="1"/>
  <c r="C289" i="39" s="1"/>
  <c r="C282" i="40" s="1"/>
  <c r="A392" i="31"/>
  <c r="A393" i="31"/>
  <c r="C277" i="38" s="1"/>
  <c r="C291" i="39" s="1"/>
  <c r="C284" i="40" s="1"/>
  <c r="A394" i="31"/>
  <c r="A395" i="31"/>
  <c r="C279" i="38" s="1"/>
  <c r="C293" i="39" s="1"/>
  <c r="C286" i="40" s="1"/>
  <c r="A396" i="31"/>
  <c r="A397" i="31"/>
  <c r="C281" i="38" s="1"/>
  <c r="C295" i="39" s="1"/>
  <c r="C288" i="40" s="1"/>
  <c r="A398" i="31"/>
  <c r="A399" i="31"/>
  <c r="C283" i="38" s="1"/>
  <c r="C297" i="39" s="1"/>
  <c r="C290" i="40" s="1"/>
  <c r="A400" i="31"/>
  <c r="A401" i="31"/>
  <c r="C285" i="38" s="1"/>
  <c r="C299" i="39" s="1"/>
  <c r="C292" i="40" s="1"/>
  <c r="A402" i="31"/>
  <c r="A403" i="31"/>
  <c r="C287" i="38" s="1"/>
  <c r="C301" i="39" s="1"/>
  <c r="C294" i="40" s="1"/>
  <c r="A404" i="31"/>
  <c r="A405" i="31"/>
  <c r="C289" i="38" s="1"/>
  <c r="C303" i="39" s="1"/>
  <c r="C296" i="40" s="1"/>
  <c r="A406" i="31"/>
  <c r="A229" i="31"/>
  <c r="C113" i="38" s="1"/>
  <c r="C127" i="39" s="1"/>
  <c r="C120" i="40" s="1"/>
  <c r="A230" i="31"/>
  <c r="C114" i="38" s="1"/>
  <c r="C128" i="39" s="1"/>
  <c r="C121" i="40" s="1"/>
  <c r="A231" i="31"/>
  <c r="C115" i="38" s="1"/>
  <c r="C129" i="39" s="1"/>
  <c r="C122" i="40" s="1"/>
  <c r="A232" i="31"/>
  <c r="C116" i="38" s="1"/>
  <c r="C130" i="39" s="1"/>
  <c r="C123" i="40" s="1"/>
  <c r="A233" i="31"/>
  <c r="C117" i="38" s="1"/>
  <c r="C131" i="39" s="1"/>
  <c r="C124" i="40" s="1"/>
  <c r="A234" i="31"/>
  <c r="C118" i="38" s="1"/>
  <c r="C132" i="39" s="1"/>
  <c r="C125" i="40" s="1"/>
  <c r="A235" i="31"/>
  <c r="C119" i="38" s="1"/>
  <c r="C133" i="39" s="1"/>
  <c r="C126" i="40" s="1"/>
  <c r="A236" i="31"/>
  <c r="C120" i="38" s="1"/>
  <c r="C134" i="39" s="1"/>
  <c r="C127" i="40" s="1"/>
  <c r="A237" i="31"/>
  <c r="C121" i="38" s="1"/>
  <c r="C135" i="39" s="1"/>
  <c r="C128" i="40" s="1"/>
  <c r="A238" i="31"/>
  <c r="C122" i="38" s="1"/>
  <c r="C136" i="39" s="1"/>
  <c r="C129" i="40" s="1"/>
  <c r="A239" i="31"/>
  <c r="C123" i="38" s="1"/>
  <c r="C137" i="39" s="1"/>
  <c r="C130" i="40" s="1"/>
  <c r="A240" i="31"/>
  <c r="C124" i="38" s="1"/>
  <c r="C138" i="39" s="1"/>
  <c r="C131" i="40" s="1"/>
  <c r="A241" i="31"/>
  <c r="C125" i="38" s="1"/>
  <c r="C139" i="39" s="1"/>
  <c r="C132" i="40" s="1"/>
  <c r="A242" i="31"/>
  <c r="C126" i="38" s="1"/>
  <c r="C140" i="39" s="1"/>
  <c r="C133" i="40" s="1"/>
  <c r="A243" i="31"/>
  <c r="C127" i="38" s="1"/>
  <c r="C141" i="39" s="1"/>
  <c r="C134" i="40" s="1"/>
  <c r="A244" i="31"/>
  <c r="C128" i="38" s="1"/>
  <c r="C142" i="39" s="1"/>
  <c r="C135" i="40" s="1"/>
  <c r="A245" i="31"/>
  <c r="C129" i="38" s="1"/>
  <c r="C143" i="39" s="1"/>
  <c r="C136" i="40" s="1"/>
  <c r="A246" i="31"/>
  <c r="C130" i="38" s="1"/>
  <c r="C144" i="39" s="1"/>
  <c r="C137" i="40" s="1"/>
  <c r="A247" i="31"/>
  <c r="C131" i="38" s="1"/>
  <c r="C145" i="39" s="1"/>
  <c r="C138" i="40" s="1"/>
  <c r="A248" i="31"/>
  <c r="C132" i="38" s="1"/>
  <c r="C146" i="39" s="1"/>
  <c r="C139" i="40" s="1"/>
  <c r="A249" i="31"/>
  <c r="C133" i="38" s="1"/>
  <c r="C147" i="39" s="1"/>
  <c r="C140" i="40" s="1"/>
  <c r="A250" i="31"/>
  <c r="C134" i="38" s="1"/>
  <c r="C148" i="39" s="1"/>
  <c r="C141" i="40" s="1"/>
  <c r="A251" i="31"/>
  <c r="C135" i="38" s="1"/>
  <c r="C149" i="39" s="1"/>
  <c r="C142" i="40" s="1"/>
  <c r="A252" i="31"/>
  <c r="C136" i="38" s="1"/>
  <c r="C150" i="39" s="1"/>
  <c r="C143" i="40" s="1"/>
  <c r="A253" i="31"/>
  <c r="C137" i="38" s="1"/>
  <c r="C151" i="39" s="1"/>
  <c r="C144" i="40" s="1"/>
  <c r="A254" i="31"/>
  <c r="C138" i="38" s="1"/>
  <c r="C152" i="39" s="1"/>
  <c r="C145" i="40" s="1"/>
  <c r="A255" i="31"/>
  <c r="C139" i="38" s="1"/>
  <c r="C153" i="39" s="1"/>
  <c r="C146" i="40" s="1"/>
  <c r="A256" i="31"/>
  <c r="C140" i="38" s="1"/>
  <c r="C154" i="39" s="1"/>
  <c r="C147" i="40" s="1"/>
  <c r="A257" i="31"/>
  <c r="C141" i="38" s="1"/>
  <c r="C155" i="39" s="1"/>
  <c r="C148" i="40" s="1"/>
  <c r="A258" i="31"/>
  <c r="C142" i="38" s="1"/>
  <c r="C156" i="39" s="1"/>
  <c r="C149" i="40" s="1"/>
  <c r="A259" i="31"/>
  <c r="C143" i="38" s="1"/>
  <c r="C157" i="39" s="1"/>
  <c r="C150" i="40" s="1"/>
  <c r="A260" i="31"/>
  <c r="C144" i="38" s="1"/>
  <c r="C158" i="39" s="1"/>
  <c r="C151" i="40" s="1"/>
  <c r="A261" i="31"/>
  <c r="C145" i="38" s="1"/>
  <c r="C159" i="39" s="1"/>
  <c r="C152" i="40" s="1"/>
  <c r="A262" i="31"/>
  <c r="C146" i="38" s="1"/>
  <c r="C160" i="39" s="1"/>
  <c r="C153" i="40" s="1"/>
  <c r="A263" i="31"/>
  <c r="C147" i="38" s="1"/>
  <c r="C161" i="39" s="1"/>
  <c r="C154" i="40" s="1"/>
  <c r="A264" i="31"/>
  <c r="C148" i="38" s="1"/>
  <c r="C162" i="39" s="1"/>
  <c r="C155" i="40" s="1"/>
  <c r="A265" i="31"/>
  <c r="C149" i="38" s="1"/>
  <c r="C163" i="39" s="1"/>
  <c r="C156" i="40" s="1"/>
  <c r="A266" i="31"/>
  <c r="C150" i="38" s="1"/>
  <c r="C164" i="39" s="1"/>
  <c r="C157" i="40" s="1"/>
  <c r="A267" i="31"/>
  <c r="C151" i="38" s="1"/>
  <c r="C165" i="39" s="1"/>
  <c r="C158" i="40" s="1"/>
  <c r="A268" i="31"/>
  <c r="C152" i="38" s="1"/>
  <c r="C166" i="39" s="1"/>
  <c r="C159" i="40" s="1"/>
  <c r="A269" i="31"/>
  <c r="C153" i="38" s="1"/>
  <c r="C167" i="39" s="1"/>
  <c r="C160" i="40" s="1"/>
  <c r="A270" i="31"/>
  <c r="C154" i="38" s="1"/>
  <c r="C168" i="39" s="1"/>
  <c r="C161" i="40" s="1"/>
  <c r="A271" i="31"/>
  <c r="C155" i="38" s="1"/>
  <c r="C169" i="39" s="1"/>
  <c r="C162" i="40" s="1"/>
  <c r="A272" i="31"/>
  <c r="C156" i="38" s="1"/>
  <c r="C170" i="39" s="1"/>
  <c r="C163" i="40" s="1"/>
  <c r="A273" i="31"/>
  <c r="C157" i="38" s="1"/>
  <c r="C171" i="39" s="1"/>
  <c r="C164" i="40" s="1"/>
  <c r="A274" i="31"/>
  <c r="C158" i="38" s="1"/>
  <c r="C172" i="39" s="1"/>
  <c r="C165" i="40" s="1"/>
  <c r="A275" i="31"/>
  <c r="C159" i="38" s="1"/>
  <c r="C173" i="39" s="1"/>
  <c r="C166" i="40" s="1"/>
  <c r="A276" i="31"/>
  <c r="C160" i="38" s="1"/>
  <c r="C174" i="39" s="1"/>
  <c r="C167" i="40" s="1"/>
  <c r="A277" i="31"/>
  <c r="C161" i="38" s="1"/>
  <c r="C175" i="39" s="1"/>
  <c r="C168" i="40" s="1"/>
  <c r="A278" i="31"/>
  <c r="C162" i="38" s="1"/>
  <c r="C176" i="39" s="1"/>
  <c r="C169" i="40" s="1"/>
  <c r="A279" i="31"/>
  <c r="C163" i="38" s="1"/>
  <c r="C177" i="39" s="1"/>
  <c r="C170" i="40" s="1"/>
  <c r="A280" i="31"/>
  <c r="C164" i="38" s="1"/>
  <c r="C178" i="39" s="1"/>
  <c r="C171" i="40" s="1"/>
  <c r="A281" i="31"/>
  <c r="C165" i="38" s="1"/>
  <c r="C179" i="39" s="1"/>
  <c r="C172" i="40" s="1"/>
  <c r="A282" i="31"/>
  <c r="C166" i="38" s="1"/>
  <c r="C180" i="39" s="1"/>
  <c r="C173" i="40" s="1"/>
  <c r="A283" i="31"/>
  <c r="C167" i="38" s="1"/>
  <c r="C181" i="39" s="1"/>
  <c r="C174" i="40" s="1"/>
  <c r="A284" i="31"/>
  <c r="C168" i="38" s="1"/>
  <c r="C182" i="39" s="1"/>
  <c r="C175" i="40" s="1"/>
  <c r="A285" i="31"/>
  <c r="C169" i="38" s="1"/>
  <c r="C183" i="39" s="1"/>
  <c r="C176" i="40" s="1"/>
  <c r="A286" i="31"/>
  <c r="C170" i="38" s="1"/>
  <c r="C184" i="39" s="1"/>
  <c r="C177" i="40" s="1"/>
  <c r="A287" i="31"/>
  <c r="C171" i="38" s="1"/>
  <c r="C185" i="39" s="1"/>
  <c r="C178" i="40" s="1"/>
  <c r="A288" i="31"/>
  <c r="C172" i="38" s="1"/>
  <c r="C186" i="39" s="1"/>
  <c r="C179" i="40" s="1"/>
  <c r="A289" i="31"/>
  <c r="C173" i="38" s="1"/>
  <c r="C187" i="39" s="1"/>
  <c r="C180" i="40" s="1"/>
  <c r="A290" i="31"/>
  <c r="C174" i="38" s="1"/>
  <c r="C188" i="39" s="1"/>
  <c r="C181" i="40" s="1"/>
  <c r="A291" i="31"/>
  <c r="C175" i="38" s="1"/>
  <c r="C189" i="39" s="1"/>
  <c r="C182" i="40" s="1"/>
  <c r="A292" i="31"/>
  <c r="C176" i="38" s="1"/>
  <c r="C190" i="39" s="1"/>
  <c r="C183" i="40" s="1"/>
  <c r="A293" i="31"/>
  <c r="C177" i="38" s="1"/>
  <c r="C191" i="39" s="1"/>
  <c r="C184" i="40" s="1"/>
  <c r="A294" i="31"/>
  <c r="C178" i="38" s="1"/>
  <c r="C192" i="39" s="1"/>
  <c r="C185" i="40" s="1"/>
  <c r="A295" i="31"/>
  <c r="C179" i="38" s="1"/>
  <c r="C193" i="39" s="1"/>
  <c r="C186" i="40" s="1"/>
  <c r="A296" i="31"/>
  <c r="C180" i="38" s="1"/>
  <c r="C194" i="39" s="1"/>
  <c r="C187" i="40" s="1"/>
  <c r="A297" i="31"/>
  <c r="C181" i="38" s="1"/>
  <c r="C195" i="39" s="1"/>
  <c r="C188" i="40" s="1"/>
  <c r="A298" i="31"/>
  <c r="C182" i="38" s="1"/>
  <c r="C196" i="39" s="1"/>
  <c r="C189" i="40" s="1"/>
  <c r="A299" i="31"/>
  <c r="C183" i="38" s="1"/>
  <c r="C197" i="39" s="1"/>
  <c r="C190" i="40" s="1"/>
  <c r="A300" i="31"/>
  <c r="C184" i="38" s="1"/>
  <c r="C198" i="39" s="1"/>
  <c r="C191" i="40" s="1"/>
  <c r="A301" i="31"/>
  <c r="C185" i="38" s="1"/>
  <c r="C199" i="39" s="1"/>
  <c r="C192" i="40" s="1"/>
  <c r="A302" i="31"/>
  <c r="C186" i="38" s="1"/>
  <c r="C200" i="39" s="1"/>
  <c r="C193" i="40" s="1"/>
  <c r="A303" i="31"/>
  <c r="C187" i="38" s="1"/>
  <c r="C201" i="39" s="1"/>
  <c r="C194" i="40" s="1"/>
  <c r="A304" i="31"/>
  <c r="C188" i="38" s="1"/>
  <c r="C202" i="39" s="1"/>
  <c r="C195" i="40" s="1"/>
  <c r="A305" i="31"/>
  <c r="C189" i="38" s="1"/>
  <c r="C203" i="39" s="1"/>
  <c r="C196" i="40" s="1"/>
  <c r="A306" i="31"/>
  <c r="C190" i="38" s="1"/>
  <c r="C204" i="39" s="1"/>
  <c r="C197" i="40" s="1"/>
  <c r="A307" i="31"/>
  <c r="C191" i="38" s="1"/>
  <c r="C205" i="39" s="1"/>
  <c r="C198" i="40" s="1"/>
  <c r="A308" i="31"/>
  <c r="C192" i="38" s="1"/>
  <c r="C206" i="39" s="1"/>
  <c r="C199" i="40" s="1"/>
  <c r="A309" i="31"/>
  <c r="C193" i="38" s="1"/>
  <c r="C207" i="39" s="1"/>
  <c r="C200" i="40" s="1"/>
  <c r="A310" i="31"/>
  <c r="C194" i="38" s="1"/>
  <c r="C208" i="39" s="1"/>
  <c r="C201" i="40" s="1"/>
  <c r="A311" i="31"/>
  <c r="C195" i="38" s="1"/>
  <c r="C209" i="39" s="1"/>
  <c r="C202" i="40" s="1"/>
  <c r="A312" i="31"/>
  <c r="C196" i="38" s="1"/>
  <c r="C210" i="39" s="1"/>
  <c r="C203" i="40" s="1"/>
  <c r="A313" i="31"/>
  <c r="C197" i="38" s="1"/>
  <c r="C211" i="39" s="1"/>
  <c r="C204" i="40" s="1"/>
  <c r="A314" i="31"/>
  <c r="C198" i="38" s="1"/>
  <c r="C212" i="39" s="1"/>
  <c r="C205" i="40" s="1"/>
  <c r="A315" i="31"/>
  <c r="C199" i="38" s="1"/>
  <c r="C213" i="39" s="1"/>
  <c r="C206" i="40" s="1"/>
  <c r="A316" i="31"/>
  <c r="C200" i="38" s="1"/>
  <c r="C214" i="39" s="1"/>
  <c r="C207" i="40" s="1"/>
  <c r="A317" i="31"/>
  <c r="C201" i="38" s="1"/>
  <c r="C215" i="39" s="1"/>
  <c r="C208" i="40" s="1"/>
  <c r="A318" i="31"/>
  <c r="C202" i="38" s="1"/>
  <c r="C216" i="39" s="1"/>
  <c r="C209" i="40" s="1"/>
  <c r="A319" i="31"/>
  <c r="C203" i="38" s="1"/>
  <c r="C217" i="39" s="1"/>
  <c r="C210" i="40" s="1"/>
  <c r="A320" i="31"/>
  <c r="C204" i="38" s="1"/>
  <c r="C218" i="39" s="1"/>
  <c r="C211" i="40" s="1"/>
  <c r="A321" i="31"/>
  <c r="C205" i="38" s="1"/>
  <c r="C219" i="39" s="1"/>
  <c r="C212" i="40" s="1"/>
  <c r="A322" i="31"/>
  <c r="C206" i="38" s="1"/>
  <c r="C220" i="39" s="1"/>
  <c r="C213" i="40" s="1"/>
  <c r="A323" i="31"/>
  <c r="C207" i="38" s="1"/>
  <c r="C221" i="39" s="1"/>
  <c r="C214" i="40" s="1"/>
  <c r="A324" i="31"/>
  <c r="C208" i="38" s="1"/>
  <c r="C222" i="39" s="1"/>
  <c r="C215" i="40" s="1"/>
  <c r="A325" i="31"/>
  <c r="C209" i="38" s="1"/>
  <c r="C223" i="39" s="1"/>
  <c r="C216" i="40" s="1"/>
  <c r="A326" i="31"/>
  <c r="C210" i="38" s="1"/>
  <c r="C224" i="39" s="1"/>
  <c r="C217" i="40" s="1"/>
  <c r="A327" i="31"/>
  <c r="C211" i="38" s="1"/>
  <c r="C225" i="39" s="1"/>
  <c r="C218" i="40" s="1"/>
  <c r="A328" i="31"/>
  <c r="C212" i="38" s="1"/>
  <c r="C226" i="39" s="1"/>
  <c r="C219" i="40" s="1"/>
  <c r="A329" i="31"/>
  <c r="C213" i="38" s="1"/>
  <c r="C227" i="39" s="1"/>
  <c r="C220" i="40" s="1"/>
  <c r="A330" i="31"/>
  <c r="C214" i="38" s="1"/>
  <c r="C228" i="39" s="1"/>
  <c r="C221" i="40" s="1"/>
  <c r="A331" i="31"/>
  <c r="C215" i="38" s="1"/>
  <c r="C229" i="39" s="1"/>
  <c r="C222" i="40" s="1"/>
  <c r="A332" i="31"/>
  <c r="C216" i="38" s="1"/>
  <c r="C230" i="39" s="1"/>
  <c r="C223" i="40" s="1"/>
  <c r="A333" i="31"/>
  <c r="C217" i="38" s="1"/>
  <c r="C231" i="39" s="1"/>
  <c r="C224" i="40" s="1"/>
  <c r="A334" i="31"/>
  <c r="C218" i="38" s="1"/>
  <c r="C232" i="39" s="1"/>
  <c r="C225" i="40" s="1"/>
  <c r="A335" i="31"/>
  <c r="C219" i="38" s="1"/>
  <c r="C233" i="39" s="1"/>
  <c r="C226" i="40" s="1"/>
  <c r="A336" i="31"/>
  <c r="C220" i="38" s="1"/>
  <c r="C234" i="39" s="1"/>
  <c r="C227" i="40" s="1"/>
  <c r="A337" i="31"/>
  <c r="C221" i="38" s="1"/>
  <c r="C235" i="39" s="1"/>
  <c r="C228" i="40" s="1"/>
  <c r="A338" i="31"/>
  <c r="C222" i="38" s="1"/>
  <c r="C236" i="39" s="1"/>
  <c r="C229" i="40" s="1"/>
  <c r="A339" i="31"/>
  <c r="C223" i="38" s="1"/>
  <c r="C237" i="39" s="1"/>
  <c r="C230" i="40" s="1"/>
  <c r="A340" i="31"/>
  <c r="C224" i="38" s="1"/>
  <c r="C238" i="39" s="1"/>
  <c r="C231" i="40" s="1"/>
  <c r="A341" i="31"/>
  <c r="C225" i="38" s="1"/>
  <c r="C239" i="39" s="1"/>
  <c r="C232" i="40" s="1"/>
  <c r="A342" i="31"/>
  <c r="C226" i="38" s="1"/>
  <c r="C240" i="39" s="1"/>
  <c r="C233" i="40" s="1"/>
  <c r="A343" i="31"/>
  <c r="C227" i="38" s="1"/>
  <c r="C241" i="39" s="1"/>
  <c r="C234" i="40" s="1"/>
  <c r="A344" i="31"/>
  <c r="C228" i="38" s="1"/>
  <c r="C242" i="39" s="1"/>
  <c r="C235" i="40" s="1"/>
  <c r="A345" i="31"/>
  <c r="C229" i="38" s="1"/>
  <c r="C243" i="39" s="1"/>
  <c r="C236" i="40" s="1"/>
  <c r="A346" i="31"/>
  <c r="C230" i="38" s="1"/>
  <c r="C244" i="39" s="1"/>
  <c r="C237" i="40" s="1"/>
  <c r="A347" i="31"/>
  <c r="C231" i="38" s="1"/>
  <c r="C245" i="39" s="1"/>
  <c r="C238" i="40" s="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C273" i="38" s="1"/>
  <c r="C287" i="39" s="1"/>
  <c r="C280" i="40" s="1"/>
  <c r="A390" i="31"/>
  <c r="A228" i="31"/>
  <c r="C112" i="38" s="1"/>
  <c r="C126" i="39" s="1"/>
  <c r="C119" i="40" s="1"/>
  <c r="D213" i="15"/>
  <c r="E64" i="40" s="1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F213" i="15" s="1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01" i="15"/>
  <c r="D208" i="15"/>
  <c r="D207" i="15"/>
  <c r="E58" i="40" s="1"/>
  <c r="D206" i="15"/>
  <c r="E57" i="40" s="1"/>
  <c r="D205" i="15"/>
  <c r="E56" i="40" s="1"/>
  <c r="D204" i="15"/>
  <c r="E55" i="40" s="1"/>
  <c r="D203" i="15"/>
  <c r="E54" i="40" s="1"/>
  <c r="D202" i="15"/>
  <c r="E53" i="40" s="1"/>
  <c r="D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01" i="15"/>
  <c r="A202" i="15"/>
  <c r="C53" i="40" s="1"/>
  <c r="A203" i="15"/>
  <c r="C54" i="40" s="1"/>
  <c r="A204" i="15"/>
  <c r="C55" i="40" s="1"/>
  <c r="A205" i="15"/>
  <c r="C56" i="40" s="1"/>
  <c r="A206" i="15"/>
  <c r="C57" i="40" s="1"/>
  <c r="A207" i="15"/>
  <c r="C58" i="40" s="1"/>
  <c r="A208" i="15"/>
  <c r="C59" i="40" s="1"/>
  <c r="A209" i="15"/>
  <c r="C60" i="40" s="1"/>
  <c r="A210" i="15"/>
  <c r="C61" i="40" s="1"/>
  <c r="A211" i="15"/>
  <c r="C62" i="40" s="1"/>
  <c r="A212" i="15"/>
  <c r="C63" i="40" s="1"/>
  <c r="A213" i="15"/>
  <c r="C64" i="40" s="1"/>
  <c r="A214" i="15"/>
  <c r="C65" i="40" s="1"/>
  <c r="A215" i="15"/>
  <c r="C66" i="40" s="1"/>
  <c r="A216" i="15"/>
  <c r="C67" i="40" s="1"/>
  <c r="A217" i="15"/>
  <c r="C68" i="40" s="1"/>
  <c r="A218" i="15"/>
  <c r="C69" i="40" s="1"/>
  <c r="A219" i="15"/>
  <c r="C70" i="40" s="1"/>
  <c r="A220" i="15"/>
  <c r="C71" i="40" s="1"/>
  <c r="A221" i="15"/>
  <c r="C72" i="40" s="1"/>
  <c r="A222" i="15"/>
  <c r="C73" i="40" s="1"/>
  <c r="A223" i="15"/>
  <c r="C74" i="40" s="1"/>
  <c r="A224" i="15"/>
  <c r="C75" i="40" s="1"/>
  <c r="A225" i="15"/>
  <c r="C76" i="40" s="1"/>
  <c r="A201" i="15"/>
  <c r="C52" i="40" s="1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184" i="14"/>
  <c r="A208" i="14"/>
  <c r="C83" i="39" s="1"/>
  <c r="A185" i="14"/>
  <c r="C60" i="39" s="1"/>
  <c r="A186" i="14"/>
  <c r="C61" i="39" s="1"/>
  <c r="A187" i="14"/>
  <c r="C62" i="39" s="1"/>
  <c r="A188" i="14"/>
  <c r="C63" i="39" s="1"/>
  <c r="A189" i="14"/>
  <c r="C64" i="39" s="1"/>
  <c r="A190" i="14"/>
  <c r="C65" i="39" s="1"/>
  <c r="A191" i="14"/>
  <c r="C66" i="39" s="1"/>
  <c r="A192" i="14"/>
  <c r="C67" i="39" s="1"/>
  <c r="A193" i="14"/>
  <c r="C68" i="39" s="1"/>
  <c r="A194" i="14"/>
  <c r="C69" i="39" s="1"/>
  <c r="A195" i="14"/>
  <c r="C70" i="39" s="1"/>
  <c r="A196" i="14"/>
  <c r="C71" i="39" s="1"/>
  <c r="A197" i="14"/>
  <c r="C72" i="39" s="1"/>
  <c r="A198" i="14"/>
  <c r="C73" i="39" s="1"/>
  <c r="A199" i="14"/>
  <c r="C74" i="39" s="1"/>
  <c r="A200" i="14"/>
  <c r="C75" i="39" s="1"/>
  <c r="A201" i="14"/>
  <c r="C76" i="39" s="1"/>
  <c r="A202" i="14"/>
  <c r="C77" i="39" s="1"/>
  <c r="A203" i="14"/>
  <c r="C78" i="39" s="1"/>
  <c r="A204" i="14"/>
  <c r="C79" i="39" s="1"/>
  <c r="A205" i="14"/>
  <c r="C80" i="39" s="1"/>
  <c r="A206" i="14"/>
  <c r="C81" i="39" s="1"/>
  <c r="A207" i="14"/>
  <c r="C82" i="39" s="1"/>
  <c r="A184" i="14"/>
  <c r="C59" i="39" s="1"/>
  <c r="A154" i="15"/>
  <c r="A133" i="14"/>
  <c r="B141" i="31"/>
  <c r="B133" i="14" l="1"/>
  <c r="D42" i="38"/>
  <c r="D57" i="39" s="1"/>
  <c r="D50" i="40" s="1"/>
  <c r="F201" i="15"/>
  <c r="E52" i="40"/>
  <c r="A391" i="14"/>
  <c r="A408" i="15" s="1"/>
  <c r="C271" i="38"/>
  <c r="C285" i="39" s="1"/>
  <c r="C278" i="40" s="1"/>
  <c r="A389" i="14"/>
  <c r="A406" i="15" s="1"/>
  <c r="C269" i="38"/>
  <c r="C283" i="39" s="1"/>
  <c r="C276" i="40" s="1"/>
  <c r="A387" i="14"/>
  <c r="A404" i="15" s="1"/>
  <c r="C267" i="38"/>
  <c r="C281" i="39" s="1"/>
  <c r="C274" i="40" s="1"/>
  <c r="A385" i="14"/>
  <c r="A402" i="15" s="1"/>
  <c r="C265" i="38"/>
  <c r="C279" i="39" s="1"/>
  <c r="C272" i="40" s="1"/>
  <c r="A383" i="14"/>
  <c r="A400" i="15" s="1"/>
  <c r="C263" i="38"/>
  <c r="C277" i="39" s="1"/>
  <c r="C270" i="40" s="1"/>
  <c r="A381" i="14"/>
  <c r="A398" i="15" s="1"/>
  <c r="C261" i="38"/>
  <c r="C275" i="39" s="1"/>
  <c r="C268" i="40" s="1"/>
  <c r="A379" i="14"/>
  <c r="A396" i="15" s="1"/>
  <c r="C259" i="38"/>
  <c r="C273" i="39" s="1"/>
  <c r="C266" i="40" s="1"/>
  <c r="A377" i="14"/>
  <c r="C257" i="38"/>
  <c r="C271" i="39" s="1"/>
  <c r="C264" i="40" s="1"/>
  <c r="A375" i="14"/>
  <c r="C255" i="38"/>
  <c r="C269" i="39" s="1"/>
  <c r="C262" i="40" s="1"/>
  <c r="A373" i="14"/>
  <c r="C253" i="38"/>
  <c r="C267" i="39" s="1"/>
  <c r="C260" i="40" s="1"/>
  <c r="A371" i="14"/>
  <c r="C251" i="38"/>
  <c r="C265" i="39" s="1"/>
  <c r="C258" i="40" s="1"/>
  <c r="A369" i="14"/>
  <c r="C249" i="38"/>
  <c r="C263" i="39" s="1"/>
  <c r="C256" i="40" s="1"/>
  <c r="A367" i="14"/>
  <c r="C247" i="38"/>
  <c r="C261" i="39" s="1"/>
  <c r="C254" i="40" s="1"/>
  <c r="A365" i="14"/>
  <c r="C245" i="38"/>
  <c r="C259" i="39" s="1"/>
  <c r="C252" i="40" s="1"/>
  <c r="A363" i="14"/>
  <c r="C243" i="38"/>
  <c r="C257" i="39" s="1"/>
  <c r="C250" i="40" s="1"/>
  <c r="A361" i="14"/>
  <c r="C241" i="38"/>
  <c r="C255" i="39" s="1"/>
  <c r="C248" i="40" s="1"/>
  <c r="A359" i="14"/>
  <c r="C239" i="38"/>
  <c r="C253" i="39" s="1"/>
  <c r="C246" i="40" s="1"/>
  <c r="A357" i="14"/>
  <c r="C237" i="38"/>
  <c r="C251" i="39" s="1"/>
  <c r="C244" i="40" s="1"/>
  <c r="A355" i="14"/>
  <c r="C235" i="38"/>
  <c r="C249" i="39" s="1"/>
  <c r="C242" i="40" s="1"/>
  <c r="A353" i="14"/>
  <c r="C233" i="38"/>
  <c r="C247" i="39" s="1"/>
  <c r="C240" i="40" s="1"/>
  <c r="C303" i="38"/>
  <c r="C301" i="38"/>
  <c r="C299" i="38"/>
  <c r="C297" i="38"/>
  <c r="C295" i="38"/>
  <c r="C293" i="38"/>
  <c r="D209" i="15"/>
  <c r="E60" i="40" s="1"/>
  <c r="E59" i="40"/>
  <c r="A394" i="14"/>
  <c r="A411" i="15" s="1"/>
  <c r="C274" i="38"/>
  <c r="C288" i="39" s="1"/>
  <c r="C281" i="40" s="1"/>
  <c r="A392" i="14"/>
  <c r="A409" i="15" s="1"/>
  <c r="C272" i="38"/>
  <c r="C286" i="39" s="1"/>
  <c r="C279" i="40" s="1"/>
  <c r="A390" i="14"/>
  <c r="A407" i="15" s="1"/>
  <c r="C270" i="38"/>
  <c r="C284" i="39" s="1"/>
  <c r="C277" i="40" s="1"/>
  <c r="A388" i="14"/>
  <c r="A405" i="15" s="1"/>
  <c r="C268" i="38"/>
  <c r="C282" i="39" s="1"/>
  <c r="C275" i="40" s="1"/>
  <c r="A386" i="14"/>
  <c r="A403" i="15" s="1"/>
  <c r="C266" i="38"/>
  <c r="C280" i="39" s="1"/>
  <c r="C273" i="40" s="1"/>
  <c r="A384" i="14"/>
  <c r="A401" i="15" s="1"/>
  <c r="C264" i="38"/>
  <c r="C278" i="39" s="1"/>
  <c r="C271" i="40" s="1"/>
  <c r="A382" i="14"/>
  <c r="A399" i="15" s="1"/>
  <c r="C262" i="38"/>
  <c r="C276" i="39" s="1"/>
  <c r="C269" i="40" s="1"/>
  <c r="A380" i="14"/>
  <c r="A397" i="15" s="1"/>
  <c r="C260" i="38"/>
  <c r="C274" i="39" s="1"/>
  <c r="C267" i="40" s="1"/>
  <c r="A378" i="14"/>
  <c r="A395" i="15" s="1"/>
  <c r="C258" i="38"/>
  <c r="C272" i="39" s="1"/>
  <c r="C265" i="40" s="1"/>
  <c r="A376" i="14"/>
  <c r="C256" i="38"/>
  <c r="C270" i="39" s="1"/>
  <c r="C263" i="40" s="1"/>
  <c r="A374" i="14"/>
  <c r="C254" i="38"/>
  <c r="C268" i="39" s="1"/>
  <c r="C261" i="40" s="1"/>
  <c r="A372" i="14"/>
  <c r="C252" i="38"/>
  <c r="C266" i="39" s="1"/>
  <c r="C259" i="40" s="1"/>
  <c r="A370" i="14"/>
  <c r="C250" i="38"/>
  <c r="C264" i="39" s="1"/>
  <c r="C257" i="40" s="1"/>
  <c r="A368" i="14"/>
  <c r="C248" i="38"/>
  <c r="C262" i="39" s="1"/>
  <c r="C255" i="40" s="1"/>
  <c r="A366" i="14"/>
  <c r="C246" i="38"/>
  <c r="C260" i="39" s="1"/>
  <c r="C253" i="40" s="1"/>
  <c r="A364" i="14"/>
  <c r="C244" i="38"/>
  <c r="C258" i="39" s="1"/>
  <c r="C251" i="40" s="1"/>
  <c r="A362" i="14"/>
  <c r="C242" i="38"/>
  <c r="C256" i="39" s="1"/>
  <c r="C249" i="40" s="1"/>
  <c r="A360" i="14"/>
  <c r="C240" i="38"/>
  <c r="C254" i="39" s="1"/>
  <c r="C247" i="40" s="1"/>
  <c r="A358" i="14"/>
  <c r="C238" i="38"/>
  <c r="C252" i="39" s="1"/>
  <c r="C245" i="40" s="1"/>
  <c r="A356" i="14"/>
  <c r="C236" i="38"/>
  <c r="C250" i="39" s="1"/>
  <c r="C243" i="40" s="1"/>
  <c r="A354" i="14"/>
  <c r="C234" i="38"/>
  <c r="C248" i="39" s="1"/>
  <c r="C241" i="40" s="1"/>
  <c r="A352" i="14"/>
  <c r="C232" i="38"/>
  <c r="C246" i="39" s="1"/>
  <c r="C239" i="40" s="1"/>
  <c r="A410" i="14"/>
  <c r="A427" i="15" s="1"/>
  <c r="C290" i="38"/>
  <c r="C304" i="39" s="1"/>
  <c r="C297" i="40" s="1"/>
  <c r="A408" i="14"/>
  <c r="A425" i="15" s="1"/>
  <c r="C288" i="38"/>
  <c r="C302" i="39" s="1"/>
  <c r="C295" i="40" s="1"/>
  <c r="A406" i="14"/>
  <c r="A423" i="15" s="1"/>
  <c r="C286" i="38"/>
  <c r="C300" i="39" s="1"/>
  <c r="C293" i="40" s="1"/>
  <c r="A404" i="14"/>
  <c r="A421" i="15" s="1"/>
  <c r="C284" i="38"/>
  <c r="C298" i="39" s="1"/>
  <c r="C291" i="40" s="1"/>
  <c r="A402" i="14"/>
  <c r="A419" i="15" s="1"/>
  <c r="C282" i="38"/>
  <c r="C296" i="39" s="1"/>
  <c r="C289" i="40" s="1"/>
  <c r="A400" i="14"/>
  <c r="A417" i="15" s="1"/>
  <c r="C280" i="38"/>
  <c r="C294" i="39" s="1"/>
  <c r="C287" i="40" s="1"/>
  <c r="A398" i="14"/>
  <c r="A415" i="15" s="1"/>
  <c r="C278" i="38"/>
  <c r="C292" i="39" s="1"/>
  <c r="C285" i="40" s="1"/>
  <c r="A396" i="14"/>
  <c r="A413" i="15" s="1"/>
  <c r="C276" i="38"/>
  <c r="C290" i="39" s="1"/>
  <c r="C283" i="40" s="1"/>
  <c r="C302" i="38"/>
  <c r="C300" i="38"/>
  <c r="C298" i="38"/>
  <c r="C296" i="38"/>
  <c r="C294" i="38"/>
  <c r="C292" i="38"/>
  <c r="F427" i="15"/>
  <c r="F425" i="15"/>
  <c r="F423" i="15"/>
  <c r="F421" i="15"/>
  <c r="F419" i="15"/>
  <c r="F415" i="15"/>
  <c r="F411" i="15"/>
  <c r="F407" i="15"/>
  <c r="F403" i="15"/>
  <c r="F399" i="15"/>
  <c r="F395" i="15"/>
  <c r="F203" i="15"/>
  <c r="F205" i="15"/>
  <c r="F207" i="15"/>
  <c r="A393" i="14"/>
  <c r="A410" i="15" s="1"/>
  <c r="A409" i="14"/>
  <c r="A426" i="15" s="1"/>
  <c r="A407" i="14"/>
  <c r="A424" i="15" s="1"/>
  <c r="A405" i="14"/>
  <c r="A422" i="15" s="1"/>
  <c r="A403" i="14"/>
  <c r="A420" i="15" s="1"/>
  <c r="A401" i="14"/>
  <c r="A418" i="15" s="1"/>
  <c r="A399" i="14"/>
  <c r="A416" i="15" s="1"/>
  <c r="A397" i="14"/>
  <c r="A414" i="15" s="1"/>
  <c r="A395" i="14"/>
  <c r="A412" i="15" s="1"/>
  <c r="A411" i="14"/>
  <c r="A428" i="15" s="1"/>
  <c r="F202" i="15"/>
  <c r="F204" i="15"/>
  <c r="F206" i="15"/>
  <c r="D215" i="15"/>
  <c r="D217" i="15"/>
  <c r="E68" i="40" s="1"/>
  <c r="F209" i="15"/>
  <c r="D211" i="15"/>
  <c r="D212" i="15"/>
  <c r="D210" i="15"/>
  <c r="F208" i="15"/>
  <c r="D225" i="15"/>
  <c r="D218" i="15"/>
  <c r="D216" i="15"/>
  <c r="D214" i="15"/>
  <c r="F214" i="15" l="1"/>
  <c r="E65" i="40"/>
  <c r="F218" i="15"/>
  <c r="E69" i="40"/>
  <c r="D223" i="15"/>
  <c r="E63" i="40"/>
  <c r="F215" i="15"/>
  <c r="E66" i="40"/>
  <c r="F216" i="15"/>
  <c r="E67" i="40"/>
  <c r="F225" i="15"/>
  <c r="E76" i="40"/>
  <c r="F210" i="15"/>
  <c r="E61" i="40"/>
  <c r="F211" i="15"/>
  <c r="E62" i="40"/>
  <c r="D221" i="15"/>
  <c r="F217" i="15"/>
  <c r="D224" i="15"/>
  <c r="D222" i="15"/>
  <c r="F212" i="15"/>
  <c r="D219" i="15"/>
  <c r="D220" i="15"/>
  <c r="F219" i="15" l="1"/>
  <c r="E70" i="40"/>
  <c r="F222" i="15"/>
  <c r="E73" i="40"/>
  <c r="F220" i="15"/>
  <c r="E71" i="40"/>
  <c r="F224" i="15"/>
  <c r="E75" i="40"/>
  <c r="F221" i="15"/>
  <c r="E72" i="40"/>
  <c r="F223" i="15"/>
  <c r="E74" i="40"/>
  <c r="F226" i="15"/>
  <c r="C92" i="40" l="1"/>
  <c r="C93" i="40"/>
  <c r="C94" i="40"/>
  <c r="C99" i="39"/>
  <c r="C100" i="39"/>
  <c r="C101" i="39"/>
  <c r="D292" i="38"/>
  <c r="E292" i="38"/>
  <c r="D293" i="38"/>
  <c r="E293" i="38"/>
  <c r="D294" i="38"/>
  <c r="E294" i="38"/>
  <c r="D295" i="38"/>
  <c r="E295" i="38"/>
  <c r="D296" i="38"/>
  <c r="E296" i="38"/>
  <c r="D297" i="38"/>
  <c r="E297" i="38"/>
  <c r="D298" i="38"/>
  <c r="E298" i="38"/>
  <c r="D299" i="38"/>
  <c r="E299" i="38"/>
  <c r="D300" i="38"/>
  <c r="E300" i="38"/>
  <c r="D301" i="38"/>
  <c r="E301" i="38"/>
  <c r="D302" i="38"/>
  <c r="E302" i="38"/>
  <c r="D303" i="38"/>
  <c r="E303" i="38"/>
  <c r="D304" i="38"/>
  <c r="E304" i="38"/>
  <c r="D305" i="38"/>
  <c r="E305" i="38"/>
  <c r="D306" i="38"/>
  <c r="E306" i="38"/>
  <c r="D307" i="38"/>
  <c r="E307" i="38"/>
  <c r="D308" i="38"/>
  <c r="E308" i="38"/>
  <c r="D309" i="38"/>
  <c r="E309" i="38"/>
  <c r="D310" i="38"/>
  <c r="E310" i="38"/>
  <c r="D311" i="38"/>
  <c r="E311" i="38"/>
  <c r="D312" i="38"/>
  <c r="E312" i="38"/>
  <c r="D313" i="38"/>
  <c r="E313" i="38"/>
  <c r="C84" i="38"/>
  <c r="C85" i="38"/>
  <c r="C86" i="38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234" i="14"/>
  <c r="A251" i="15" s="1"/>
  <c r="A216" i="14"/>
  <c r="A217" i="14"/>
  <c r="A218" i="14"/>
  <c r="A219" i="14"/>
  <c r="A220" i="14"/>
  <c r="A221" i="14"/>
  <c r="A222" i="14"/>
  <c r="A223" i="14"/>
  <c r="A224" i="14"/>
  <c r="A225" i="14"/>
  <c r="A242" i="15" s="1"/>
  <c r="A226" i="14"/>
  <c r="A243" i="15" s="1"/>
  <c r="A227" i="14"/>
  <c r="A244" i="15" s="1"/>
  <c r="A228" i="14"/>
  <c r="A245" i="15" s="1"/>
  <c r="A229" i="14"/>
  <c r="A246" i="15" s="1"/>
  <c r="A232" i="14"/>
  <c r="A249" i="15" s="1"/>
  <c r="A233" i="14"/>
  <c r="A250" i="15" s="1"/>
  <c r="A328" i="14" l="1"/>
  <c r="A345" i="15" s="1"/>
  <c r="A343" i="14"/>
  <c r="A360" i="15" s="1"/>
  <c r="A342" i="14"/>
  <c r="A359" i="15" s="1"/>
  <c r="A341" i="14"/>
  <c r="A358" i="15" s="1"/>
  <c r="A340" i="14"/>
  <c r="A357" i="15" s="1"/>
  <c r="A339" i="14"/>
  <c r="A356" i="15" s="1"/>
  <c r="A338" i="14"/>
  <c r="A355" i="15" s="1"/>
  <c r="A351" i="14"/>
  <c r="A368" i="15" s="1"/>
  <c r="A350" i="14"/>
  <c r="A367" i="15" s="1"/>
  <c r="A349" i="14"/>
  <c r="A366" i="15" s="1"/>
  <c r="A348" i="14"/>
  <c r="A365" i="15" s="1"/>
  <c r="A347" i="14"/>
  <c r="A364" i="15" s="1"/>
  <c r="A346" i="14"/>
  <c r="A363" i="15" s="1"/>
  <c r="A345" i="14"/>
  <c r="A362" i="15" s="1"/>
  <c r="A344" i="14"/>
  <c r="A361" i="15" s="1"/>
  <c r="A311" i="14"/>
  <c r="A328" i="15" s="1"/>
  <c r="A310" i="14"/>
  <c r="A327" i="15" s="1"/>
  <c r="A309" i="14"/>
  <c r="A326" i="15" s="1"/>
  <c r="A308" i="14"/>
  <c r="A325" i="15" s="1"/>
  <c r="A307" i="14"/>
  <c r="A324" i="15" s="1"/>
  <c r="A306" i="14"/>
  <c r="A323" i="15" s="1"/>
  <c r="A305" i="14"/>
  <c r="A322" i="15" s="1"/>
  <c r="A304" i="14"/>
  <c r="A321" i="15" s="1"/>
  <c r="A303" i="14"/>
  <c r="A320" i="15" s="1"/>
  <c r="A302" i="14"/>
  <c r="A319" i="15" s="1"/>
  <c r="A301" i="14"/>
  <c r="A318" i="15" s="1"/>
  <c r="A300" i="14"/>
  <c r="A317" i="15" s="1"/>
  <c r="A299" i="14"/>
  <c r="A316" i="15" s="1"/>
  <c r="A298" i="14"/>
  <c r="A315" i="15" s="1"/>
  <c r="A297" i="14"/>
  <c r="A314" i="15" s="1"/>
  <c r="A296" i="14"/>
  <c r="A313" i="15" s="1"/>
  <c r="A295" i="14"/>
  <c r="A312" i="15" s="1"/>
  <c r="A294" i="14"/>
  <c r="A311" i="15" s="1"/>
  <c r="A293" i="14"/>
  <c r="A310" i="15" s="1"/>
  <c r="A292" i="14"/>
  <c r="A309" i="15" s="1"/>
  <c r="A291" i="14"/>
  <c r="A308" i="15" s="1"/>
  <c r="A290" i="14"/>
  <c r="A307" i="15" s="1"/>
  <c r="A289" i="14"/>
  <c r="A306" i="15" s="1"/>
  <c r="A288" i="14"/>
  <c r="A305" i="15" s="1"/>
  <c r="A287" i="14"/>
  <c r="A304" i="15" s="1"/>
  <c r="A286" i="14"/>
  <c r="A303" i="15" s="1"/>
  <c r="A285" i="14"/>
  <c r="A302" i="15" s="1"/>
  <c r="A284" i="14"/>
  <c r="A301" i="15" s="1"/>
  <c r="A283" i="14"/>
  <c r="A300" i="15" s="1"/>
  <c r="A282" i="14"/>
  <c r="A299" i="15" s="1"/>
  <c r="A281" i="14"/>
  <c r="A298" i="15" s="1"/>
  <c r="A280" i="14"/>
  <c r="A297" i="15" s="1"/>
  <c r="A279" i="14"/>
  <c r="A296" i="15" s="1"/>
  <c r="A278" i="14"/>
  <c r="A295" i="15" s="1"/>
  <c r="A277" i="14"/>
  <c r="A294" i="15" s="1"/>
  <c r="A276" i="14"/>
  <c r="A293" i="15" s="1"/>
  <c r="A275" i="14"/>
  <c r="A292" i="15" s="1"/>
  <c r="A274" i="14"/>
  <c r="A291" i="15" s="1"/>
  <c r="A273" i="14"/>
  <c r="A290" i="15" s="1"/>
  <c r="A272" i="14"/>
  <c r="A289" i="15" s="1"/>
  <c r="A271" i="14"/>
  <c r="A288" i="15" s="1"/>
  <c r="A270" i="14"/>
  <c r="A287" i="15" s="1"/>
  <c r="A269" i="14"/>
  <c r="A286" i="15" s="1"/>
  <c r="A320" i="14"/>
  <c r="A337" i="15" s="1"/>
  <c r="A319" i="14"/>
  <c r="A336" i="15" s="1"/>
  <c r="A318" i="14"/>
  <c r="A335" i="15" s="1"/>
  <c r="A317" i="14"/>
  <c r="A334" i="15" s="1"/>
  <c r="A316" i="14"/>
  <c r="A333" i="15" s="1"/>
  <c r="A315" i="14"/>
  <c r="A332" i="15" s="1"/>
  <c r="A314" i="14"/>
  <c r="A331" i="15" s="1"/>
  <c r="A313" i="14"/>
  <c r="A330" i="15" s="1"/>
  <c r="A312" i="14"/>
  <c r="A329" i="15" s="1"/>
  <c r="A327" i="14"/>
  <c r="A344" i="15" s="1"/>
  <c r="A326" i="14"/>
  <c r="A343" i="15" s="1"/>
  <c r="A325" i="14"/>
  <c r="A342" i="15" s="1"/>
  <c r="A324" i="14"/>
  <c r="A341" i="15" s="1"/>
  <c r="A323" i="14"/>
  <c r="A340" i="15" s="1"/>
  <c r="A322" i="14"/>
  <c r="A339" i="15" s="1"/>
  <c r="A321" i="14"/>
  <c r="A338" i="15" s="1"/>
  <c r="A337" i="14"/>
  <c r="A354" i="15" s="1"/>
  <c r="A336" i="14"/>
  <c r="A353" i="15" s="1"/>
  <c r="A335" i="14"/>
  <c r="A352" i="15" s="1"/>
  <c r="A334" i="14"/>
  <c r="A351" i="15" s="1"/>
  <c r="A333" i="14"/>
  <c r="A350" i="15" s="1"/>
  <c r="A332" i="14"/>
  <c r="A349" i="15" s="1"/>
  <c r="A331" i="14"/>
  <c r="A348" i="15" s="1"/>
  <c r="A330" i="14"/>
  <c r="A347" i="15" s="1"/>
  <c r="A329" i="14"/>
  <c r="A346" i="15" s="1"/>
  <c r="D139" i="15" l="1"/>
  <c r="D140" i="15"/>
  <c r="D138" i="15"/>
  <c r="D106" i="14"/>
  <c r="D107" i="14"/>
  <c r="D105" i="14"/>
  <c r="G125" i="31"/>
  <c r="F161" i="15"/>
  <c r="G161" i="15" s="1"/>
  <c r="F162" i="15"/>
  <c r="G162" i="15" s="1"/>
  <c r="F160" i="15"/>
  <c r="G160" i="15" s="1"/>
  <c r="E161" i="15"/>
  <c r="E162" i="15"/>
  <c r="E160" i="15"/>
  <c r="D161" i="15"/>
  <c r="D162" i="15"/>
  <c r="D160" i="15"/>
  <c r="B161" i="15"/>
  <c r="B162" i="15"/>
  <c r="B160" i="15"/>
  <c r="F141" i="14"/>
  <c r="G141" i="14" s="1"/>
  <c r="F142" i="14"/>
  <c r="G142" i="14" s="1"/>
  <c r="F140" i="14"/>
  <c r="G140" i="14" s="1"/>
  <c r="E141" i="14"/>
  <c r="E142" i="14"/>
  <c r="E140" i="14"/>
  <c r="D141" i="14"/>
  <c r="D142" i="14"/>
  <c r="D140" i="14"/>
  <c r="B141" i="14"/>
  <c r="B142" i="14"/>
  <c r="B140" i="14"/>
  <c r="G126" i="31"/>
  <c r="G127" i="31"/>
  <c r="C93" i="39" l="1"/>
  <c r="D38" i="38"/>
  <c r="D53" i="39" s="1"/>
  <c r="D46" i="40" s="1"/>
  <c r="D39" i="38"/>
  <c r="D54" i="39" s="1"/>
  <c r="D47" i="40" s="1"/>
  <c r="D40" i="38"/>
  <c r="D55" i="39" s="1"/>
  <c r="D48" i="40" s="1"/>
  <c r="D41" i="38"/>
  <c r="D56" i="39" s="1"/>
  <c r="D49" i="40" s="1"/>
  <c r="D37" i="38"/>
  <c r="D52" i="39" s="1"/>
  <c r="D45" i="40" s="1"/>
  <c r="C38" i="38"/>
  <c r="C53" i="39" s="1"/>
  <c r="C46" i="40" s="1"/>
  <c r="C39" i="38"/>
  <c r="C54" i="39" s="1"/>
  <c r="C47" i="40" s="1"/>
  <c r="C40" i="38"/>
  <c r="C55" i="39" s="1"/>
  <c r="C48" i="40" s="1"/>
  <c r="C41" i="38"/>
  <c r="C56" i="39" s="1"/>
  <c r="C49" i="40" s="1"/>
  <c r="C37" i="38"/>
  <c r="C52" i="39" s="1"/>
  <c r="C45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53" i="15"/>
  <c r="A235" i="14"/>
  <c r="A186" i="15"/>
  <c r="A185" i="15"/>
  <c r="A184" i="15"/>
  <c r="A183" i="15"/>
  <c r="A182" i="15"/>
  <c r="A181" i="15"/>
  <c r="A180" i="15"/>
  <c r="A169" i="14"/>
  <c r="A168" i="14"/>
  <c r="A167" i="14"/>
  <c r="A166" i="14"/>
  <c r="A165" i="14"/>
  <c r="A164" i="14"/>
  <c r="A163" i="14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80" i="15"/>
  <c r="G81" i="15"/>
  <c r="G82" i="15"/>
  <c r="G84" i="15"/>
  <c r="G85" i="15"/>
  <c r="G86" i="15"/>
  <c r="G88" i="15"/>
  <c r="G89" i="15"/>
  <c r="G90" i="15"/>
  <c r="G92" i="15"/>
  <c r="G93" i="15"/>
  <c r="G94" i="15"/>
  <c r="G95" i="15"/>
  <c r="G97" i="15"/>
  <c r="G98" i="15"/>
  <c r="G99" i="15"/>
  <c r="G101" i="15"/>
  <c r="G102" i="15"/>
  <c r="G103" i="15"/>
  <c r="G105" i="15"/>
  <c r="G106" i="15"/>
  <c r="G108" i="15"/>
  <c r="G59" i="15"/>
  <c r="G57" i="14"/>
  <c r="G59" i="14"/>
  <c r="G60" i="14"/>
  <c r="G62" i="14"/>
  <c r="G63" i="14"/>
  <c r="G64" i="14"/>
  <c r="G66" i="14"/>
  <c r="G67" i="14"/>
  <c r="G68" i="14"/>
  <c r="G70" i="14"/>
  <c r="G71" i="14"/>
  <c r="G73" i="14"/>
  <c r="G74" i="14"/>
  <c r="G75" i="14"/>
  <c r="G77" i="14"/>
  <c r="G78" i="14"/>
  <c r="G79" i="14"/>
  <c r="G56" i="14"/>
  <c r="E150" i="15"/>
  <c r="E151" i="15"/>
  <c r="E152" i="15"/>
  <c r="E153" i="15"/>
  <c r="E149" i="15"/>
  <c r="B150" i="15"/>
  <c r="B151" i="15"/>
  <c r="B154" i="15" s="1"/>
  <c r="B152" i="15"/>
  <c r="B153" i="15"/>
  <c r="B149" i="15"/>
  <c r="A153" i="15"/>
  <c r="A152" i="15"/>
  <c r="A151" i="15"/>
  <c r="A150" i="15"/>
  <c r="A149" i="15"/>
  <c r="E129" i="14"/>
  <c r="E130" i="14"/>
  <c r="E131" i="14"/>
  <c r="E132" i="14"/>
  <c r="E128" i="14"/>
  <c r="A132" i="14"/>
  <c r="A131" i="14"/>
  <c r="A130" i="14"/>
  <c r="A129" i="14"/>
  <c r="A128" i="14"/>
  <c r="C159" i="15"/>
  <c r="D159" i="15"/>
  <c r="E159" i="15"/>
  <c r="B159" i="15"/>
  <c r="C139" i="14"/>
  <c r="D139" i="14"/>
  <c r="E139" i="14"/>
  <c r="B139" i="14"/>
  <c r="F124" i="31"/>
  <c r="F159" i="15" s="1"/>
  <c r="F49" i="15"/>
  <c r="F171" i="15" s="1"/>
  <c r="F50" i="15"/>
  <c r="F172" i="15" s="1"/>
  <c r="F51" i="15"/>
  <c r="F173" i="15" s="1"/>
  <c r="F48" i="15"/>
  <c r="F170" i="15" s="1"/>
  <c r="D49" i="15"/>
  <c r="D171" i="15" s="1"/>
  <c r="D50" i="15"/>
  <c r="D172" i="15" s="1"/>
  <c r="D51" i="15"/>
  <c r="D173" i="15" s="1"/>
  <c r="D48" i="15"/>
  <c r="D170" i="15" s="1"/>
  <c r="A51" i="15"/>
  <c r="A173" i="15" s="1"/>
  <c r="A50" i="15"/>
  <c r="A172" i="15" s="1"/>
  <c r="A49" i="15"/>
  <c r="A171" i="15" s="1"/>
  <c r="A48" i="15"/>
  <c r="A170" i="15" s="1"/>
  <c r="F46" i="14"/>
  <c r="F154" i="14" s="1"/>
  <c r="F47" i="14"/>
  <c r="F155" i="14" s="1"/>
  <c r="F48" i="14"/>
  <c r="F45" i="14"/>
  <c r="F153" i="14" s="1"/>
  <c r="D46" i="14"/>
  <c r="D154" i="14" s="1"/>
  <c r="D47" i="14"/>
  <c r="D155" i="14" s="1"/>
  <c r="D48" i="14"/>
  <c r="D156" i="14" s="1"/>
  <c r="D45" i="14"/>
  <c r="D153" i="14" s="1"/>
  <c r="A48" i="14"/>
  <c r="A156" i="14" s="1"/>
  <c r="A47" i="14"/>
  <c r="A155" i="14" s="1"/>
  <c r="A46" i="14"/>
  <c r="A154" i="14" s="1"/>
  <c r="A45" i="14"/>
  <c r="A153" i="14" s="1"/>
  <c r="F149" i="31"/>
  <c r="F150" i="31"/>
  <c r="G150" i="31" s="1"/>
  <c r="F151" i="31"/>
  <c r="G151" i="31" s="1"/>
  <c r="F148" i="31"/>
  <c r="D149" i="31"/>
  <c r="D150" i="31"/>
  <c r="D151" i="31"/>
  <c r="D148" i="31"/>
  <c r="A151" i="31"/>
  <c r="A150" i="31"/>
  <c r="A149" i="31"/>
  <c r="A148" i="31"/>
  <c r="G56" i="31"/>
  <c r="D115" i="15"/>
  <c r="A115" i="15"/>
  <c r="D9" i="15"/>
  <c r="D94" i="14"/>
  <c r="A94" i="14"/>
  <c r="D9" i="14"/>
  <c r="F14" i="31"/>
  <c r="G109" i="15" l="1"/>
  <c r="C15" i="37"/>
  <c r="F156" i="14"/>
  <c r="D95" i="38" l="1"/>
  <c r="D109" i="39" s="1"/>
  <c r="D102" i="40" s="1"/>
  <c r="C95" i="38"/>
  <c r="C109" i="39" s="1"/>
  <c r="C102" i="40" s="1"/>
  <c r="A242" i="14" l="1"/>
  <c r="A259" i="15" s="1"/>
  <c r="A243" i="14"/>
  <c r="A260" i="15" s="1"/>
  <c r="A244" i="14"/>
  <c r="A261" i="15" s="1"/>
  <c r="A245" i="14"/>
  <c r="A262" i="15" s="1"/>
  <c r="A246" i="14"/>
  <c r="A263" i="15" s="1"/>
  <c r="A247" i="14"/>
  <c r="A264" i="15" s="1"/>
  <c r="A248" i="14"/>
  <c r="A265" i="15" s="1"/>
  <c r="A249" i="14"/>
  <c r="A266" i="15" s="1"/>
  <c r="A250" i="14"/>
  <c r="A267" i="15" s="1"/>
  <c r="A251" i="14"/>
  <c r="A268" i="15" s="1"/>
  <c r="A252" i="14"/>
  <c r="A269" i="15" s="1"/>
  <c r="A253" i="14"/>
  <c r="A270" i="15" s="1"/>
  <c r="A254" i="14"/>
  <c r="A271" i="15" s="1"/>
  <c r="A255" i="14"/>
  <c r="A272" i="15" s="1"/>
  <c r="A256" i="14"/>
  <c r="A273" i="15" s="1"/>
  <c r="A257" i="14"/>
  <c r="A274" i="15" s="1"/>
  <c r="A258" i="14"/>
  <c r="A275" i="15" s="1"/>
  <c r="A259" i="14"/>
  <c r="A276" i="15" s="1"/>
  <c r="A260" i="14"/>
  <c r="A277" i="15" s="1"/>
  <c r="A261" i="14"/>
  <c r="A278" i="15" s="1"/>
  <c r="A262" i="14"/>
  <c r="A279" i="15" s="1"/>
  <c r="A263" i="14"/>
  <c r="A280" i="15" s="1"/>
  <c r="A264" i="14"/>
  <c r="A281" i="15" s="1"/>
  <c r="A265" i="14"/>
  <c r="A282" i="15" s="1"/>
  <c r="A266" i="14"/>
  <c r="A283" i="15" s="1"/>
  <c r="A267" i="14"/>
  <c r="A284" i="15" s="1"/>
  <c r="A268" i="14"/>
  <c r="A285" i="15" s="1"/>
  <c r="A241" i="14"/>
  <c r="A258" i="15" s="1"/>
  <c r="A239" i="14"/>
  <c r="A256" i="15" s="1"/>
  <c r="A240" i="14"/>
  <c r="A257" i="15" s="1"/>
  <c r="A237" i="14"/>
  <c r="A254" i="15" s="1"/>
  <c r="A238" i="14"/>
  <c r="A255" i="15" s="1"/>
  <c r="A233" i="15"/>
  <c r="A234" i="15"/>
  <c r="A235" i="15"/>
  <c r="A236" i="15"/>
  <c r="A237" i="15"/>
  <c r="A238" i="15"/>
  <c r="A239" i="15"/>
  <c r="A240" i="15"/>
  <c r="A241" i="15"/>
  <c r="A236" i="14"/>
  <c r="A252" i="15" s="1"/>
  <c r="A215" i="14"/>
  <c r="A232" i="15" s="1"/>
  <c r="F139" i="14" l="1"/>
  <c r="E181" i="15"/>
  <c r="E182" i="15"/>
  <c r="E183" i="15"/>
  <c r="E184" i="15"/>
  <c r="E185" i="15"/>
  <c r="E186" i="15"/>
  <c r="G186" i="15" s="1"/>
  <c r="E180" i="15"/>
  <c r="E164" i="14"/>
  <c r="E165" i="14"/>
  <c r="E166" i="14"/>
  <c r="E167" i="14"/>
  <c r="E168" i="14"/>
  <c r="E169" i="14"/>
  <c r="E163" i="14"/>
  <c r="F163" i="15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41" i="40"/>
  <c r="C42" i="40"/>
  <c r="C16" i="40"/>
  <c r="E33" i="38"/>
  <c r="E34" i="38"/>
  <c r="D18" i="38"/>
  <c r="D19" i="38"/>
  <c r="D33" i="38"/>
  <c r="D34" i="38"/>
  <c r="C33" i="38"/>
  <c r="C34" i="38"/>
  <c r="E117" i="31"/>
  <c r="F117" i="31" s="1"/>
  <c r="E118" i="31"/>
  <c r="F118" i="31" s="1"/>
  <c r="E107" i="14"/>
  <c r="F107" i="14" s="1"/>
  <c r="E106" i="14"/>
  <c r="F106" i="14" s="1"/>
  <c r="E138" i="15"/>
  <c r="F138" i="15" s="1"/>
  <c r="E139" i="15"/>
  <c r="F139" i="15" s="1"/>
  <c r="E140" i="15"/>
  <c r="F140" i="15" s="1"/>
  <c r="F141" i="15" l="1"/>
  <c r="D119" i="31"/>
  <c r="E116" i="31"/>
  <c r="D108" i="14"/>
  <c r="E105" i="14"/>
  <c r="D141" i="15"/>
  <c r="E141" i="15"/>
  <c r="E119" i="31" l="1"/>
  <c r="F116" i="31"/>
  <c r="F119" i="31" s="1"/>
  <c r="E108" i="14"/>
  <c r="F105" i="14"/>
  <c r="F108" i="14" s="1"/>
  <c r="G85" i="31"/>
  <c r="G86" i="31" s="1"/>
  <c r="B43" i="15" l="1"/>
  <c r="F13" i="14" l="1"/>
  <c r="F32" i="14"/>
  <c r="F33" i="14"/>
  <c r="F114" i="14"/>
  <c r="F115" i="14"/>
  <c r="F116" i="14"/>
  <c r="F117" i="14"/>
  <c r="F118" i="14"/>
  <c r="F34" i="14" l="1"/>
  <c r="F119" i="14"/>
  <c r="D96" i="14" l="1"/>
  <c r="D95" i="14"/>
  <c r="D97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29" i="15"/>
  <c r="F128" i="15"/>
  <c r="F127" i="15"/>
  <c r="F126" i="15"/>
  <c r="F125" i="15"/>
  <c r="B129" i="15"/>
  <c r="B128" i="15"/>
  <c r="B127" i="15"/>
  <c r="E130" i="15"/>
  <c r="D130" i="15"/>
  <c r="G129" i="15"/>
  <c r="G128" i="15"/>
  <c r="G127" i="15"/>
  <c r="G126" i="15"/>
  <c r="F33" i="15"/>
  <c r="G33" i="15" s="1"/>
  <c r="F32" i="15"/>
  <c r="G32" i="15" s="1"/>
  <c r="B33" i="15"/>
  <c r="E32" i="15"/>
  <c r="G116" i="14"/>
  <c r="G115" i="14"/>
  <c r="B118" i="14"/>
  <c r="B117" i="14"/>
  <c r="B116" i="14"/>
  <c r="B115" i="14"/>
  <c r="E119" i="14"/>
  <c r="D119" i="14"/>
  <c r="G118" i="14"/>
  <c r="G117" i="14"/>
  <c r="F35" i="31"/>
  <c r="F34" i="31"/>
  <c r="B33" i="14"/>
  <c r="G32" i="14"/>
  <c r="E32" i="14"/>
  <c r="F109" i="31"/>
  <c r="F108" i="31"/>
  <c r="F107" i="31"/>
  <c r="E110" i="31"/>
  <c r="G107" i="31"/>
  <c r="H107" i="31" s="1"/>
  <c r="G108" i="31"/>
  <c r="H108" i="31" s="1"/>
  <c r="G109" i="31"/>
  <c r="H109" i="31" s="1"/>
  <c r="B109" i="31"/>
  <c r="B108" i="31"/>
  <c r="B118" i="31" s="1"/>
  <c r="B107" i="31"/>
  <c r="B117" i="31" s="1"/>
  <c r="B106" i="31"/>
  <c r="B105" i="31"/>
  <c r="F105" i="31" s="1"/>
  <c r="D110" i="31"/>
  <c r="B35" i="31"/>
  <c r="B36" i="31" s="1"/>
  <c r="E34" i="31"/>
  <c r="F106" i="31" l="1"/>
  <c r="G106" i="31" s="1"/>
  <c r="H106" i="31" s="1"/>
  <c r="B116" i="31"/>
  <c r="G34" i="15"/>
  <c r="F130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G105" i="31"/>
  <c r="H105" i="31" s="1"/>
  <c r="F110" i="31"/>
  <c r="B34" i="15"/>
  <c r="H126" i="15"/>
  <c r="H127" i="15"/>
  <c r="H128" i="15"/>
  <c r="H129" i="15"/>
  <c r="G125" i="15"/>
  <c r="G130" i="15" s="1"/>
  <c r="H32" i="15"/>
  <c r="H33" i="15"/>
  <c r="F34" i="15"/>
  <c r="H115" i="14"/>
  <c r="H116" i="14"/>
  <c r="H117" i="14"/>
  <c r="H118" i="14"/>
  <c r="G114" i="14"/>
  <c r="G119" i="14" s="1"/>
  <c r="B34" i="14"/>
  <c r="H32" i="14"/>
  <c r="G34" i="31"/>
  <c r="D36" i="31" l="1"/>
  <c r="D34" i="15"/>
  <c r="D34" i="14"/>
  <c r="B41" i="15"/>
  <c r="F40" i="15"/>
  <c r="B41" i="14"/>
  <c r="G110" i="31"/>
  <c r="H125" i="15"/>
  <c r="H114" i="14"/>
  <c r="G33" i="14"/>
  <c r="G34" i="14" s="1"/>
  <c r="G35" i="31"/>
  <c r="G36" i="31" s="1"/>
  <c r="H34" i="31"/>
  <c r="F36" i="31"/>
  <c r="H33" i="14" l="1"/>
  <c r="H35" i="31"/>
  <c r="D1" i="40" l="1"/>
  <c r="D1" i="39"/>
  <c r="C100" i="40" l="1"/>
  <c r="C91" i="40"/>
  <c r="C84" i="40"/>
  <c r="C83" i="40"/>
  <c r="C82" i="40"/>
  <c r="C81" i="40"/>
  <c r="C80" i="40"/>
  <c r="C79" i="40"/>
  <c r="C78" i="40"/>
  <c r="C85" i="39"/>
  <c r="C86" i="39"/>
  <c r="C87" i="39"/>
  <c r="C88" i="39"/>
  <c r="C89" i="39"/>
  <c r="C90" i="39"/>
  <c r="C91" i="39"/>
  <c r="C98" i="39"/>
  <c r="C107" i="39"/>
  <c r="C93" i="38" l="1"/>
  <c r="C83" i="38"/>
  <c r="C76" i="38" l="1"/>
  <c r="C75" i="38"/>
  <c r="C74" i="38"/>
  <c r="C73" i="38"/>
  <c r="C72" i="38"/>
  <c r="C71" i="38"/>
  <c r="C70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I24" i="14" l="1"/>
  <c r="E24" i="15"/>
  <c r="G24" i="15" s="1"/>
  <c r="I24" i="15" s="1"/>
  <c r="E10" i="40"/>
  <c r="E25" i="31"/>
  <c r="G25" i="31" s="1"/>
  <c r="I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I25" i="14" l="1"/>
  <c r="I26" i="14" s="1"/>
  <c r="D118" i="15"/>
  <c r="D117" i="15"/>
  <c r="D116" i="15"/>
  <c r="D44" i="15" l="1"/>
  <c r="H25" i="15"/>
  <c r="I25" i="15" s="1"/>
  <c r="D49" i="31"/>
  <c r="F89" i="31" s="1"/>
  <c r="E26" i="31"/>
  <c r="G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93" i="31" l="1"/>
  <c r="F93" i="31" s="1"/>
  <c r="E92" i="31"/>
  <c r="F92" i="31" s="1"/>
  <c r="E94" i="31"/>
  <c r="F94" i="31" s="1"/>
  <c r="I26" i="31"/>
  <c r="I27" i="31" s="1"/>
  <c r="E95" i="31"/>
  <c r="E81" i="38" s="1"/>
  <c r="E86" i="38" s="1"/>
  <c r="E53" i="31"/>
  <c r="E50" i="15"/>
  <c r="E48" i="15"/>
  <c r="E51" i="15"/>
  <c r="G51" i="15" s="1"/>
  <c r="E49" i="15"/>
  <c r="F90" i="14"/>
  <c r="F124" i="14" s="1"/>
  <c r="E45" i="14"/>
  <c r="E12" i="39" s="1"/>
  <c r="E80" i="38"/>
  <c r="I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11" i="15"/>
  <c r="E79" i="38"/>
  <c r="E84" i="38" s="1"/>
  <c r="E85" i="38" s="1"/>
  <c r="D27" i="31"/>
  <c r="I6" i="36"/>
  <c r="G6" i="36"/>
  <c r="H6" i="36" s="1"/>
  <c r="I10" i="36"/>
  <c r="G10" i="36"/>
  <c r="H10" i="36" s="1"/>
  <c r="G7" i="36"/>
  <c r="H7" i="36" s="1"/>
  <c r="I7" i="36"/>
  <c r="B105" i="14" l="1"/>
  <c r="D133" i="14"/>
  <c r="E78" i="38"/>
  <c r="E83" i="38" s="1"/>
  <c r="F132" i="31"/>
  <c r="D145" i="31" s="1"/>
  <c r="D141" i="31" s="1"/>
  <c r="G124" i="31"/>
  <c r="G128" i="31" s="1"/>
  <c r="E48" i="14"/>
  <c r="G48" i="14" s="1"/>
  <c r="E46" i="14"/>
  <c r="E13" i="39" s="1"/>
  <c r="E47" i="14"/>
  <c r="E14" i="39" s="1"/>
  <c r="D132" i="14"/>
  <c r="D129" i="14"/>
  <c r="D131" i="14"/>
  <c r="E55" i="39" s="1"/>
  <c r="D128" i="14"/>
  <c r="G50" i="15"/>
  <c r="E14" i="40"/>
  <c r="G48" i="15"/>
  <c r="E12" i="40"/>
  <c r="G49" i="15"/>
  <c r="E13" i="40"/>
  <c r="E97" i="14"/>
  <c r="G93" i="31"/>
  <c r="G53" i="31"/>
  <c r="E12" i="38"/>
  <c r="G55" i="31"/>
  <c r="E14" i="38"/>
  <c r="G94" i="31"/>
  <c r="G92" i="31"/>
  <c r="F95" i="31"/>
  <c r="G95" i="31" s="1"/>
  <c r="G54" i="31"/>
  <c r="E13" i="38"/>
  <c r="E94" i="14"/>
  <c r="E93" i="39" s="1"/>
  <c r="E98" i="39" s="1"/>
  <c r="E95" i="14"/>
  <c r="E94" i="39" s="1"/>
  <c r="E99" i="39" s="1"/>
  <c r="E96" i="14"/>
  <c r="E95" i="39" s="1"/>
  <c r="A8" i="37"/>
  <c r="E117" i="15"/>
  <c r="I11" i="36"/>
  <c r="G8" i="36"/>
  <c r="H8" i="36" s="1"/>
  <c r="D12" i="36"/>
  <c r="D15" i="36" s="1"/>
  <c r="G9" i="36"/>
  <c r="H9" i="36" s="1"/>
  <c r="E115" i="15"/>
  <c r="F145" i="15"/>
  <c r="E116" i="15"/>
  <c r="B138" i="15" s="1"/>
  <c r="E118" i="15"/>
  <c r="F5" i="36"/>
  <c r="E12" i="36"/>
  <c r="F133" i="14" l="1"/>
  <c r="E57" i="39"/>
  <c r="F141" i="31"/>
  <c r="E42" i="38"/>
  <c r="E89" i="40"/>
  <c r="E94" i="40" s="1"/>
  <c r="B140" i="15"/>
  <c r="E88" i="40"/>
  <c r="B139" i="15"/>
  <c r="F115" i="15"/>
  <c r="G115" i="15" s="1"/>
  <c r="E86" i="40"/>
  <c r="E91" i="40" s="1"/>
  <c r="F116" i="15"/>
  <c r="G116" i="15" s="1"/>
  <c r="E87" i="40"/>
  <c r="E92" i="40" s="1"/>
  <c r="B107" i="14"/>
  <c r="E96" i="39"/>
  <c r="E101" i="39" s="1"/>
  <c r="F132" i="14"/>
  <c r="E56" i="39"/>
  <c r="F128" i="14"/>
  <c r="E52" i="39"/>
  <c r="F129" i="14"/>
  <c r="E53" i="39"/>
  <c r="E148" i="31"/>
  <c r="E88" i="38" s="1"/>
  <c r="G57" i="31"/>
  <c r="B8" i="37" s="1"/>
  <c r="D139" i="31"/>
  <c r="D137" i="31"/>
  <c r="D140" i="31"/>
  <c r="F140" i="31" s="1"/>
  <c r="D138" i="31"/>
  <c r="D136" i="31"/>
  <c r="F136" i="31" s="1"/>
  <c r="D152" i="15"/>
  <c r="D149" i="15"/>
  <c r="F149" i="15" s="1"/>
  <c r="D153" i="15"/>
  <c r="D150" i="15"/>
  <c r="F150" i="15" s="1"/>
  <c r="G159" i="15"/>
  <c r="G163" i="15" s="1"/>
  <c r="F131" i="14"/>
  <c r="G52" i="15"/>
  <c r="B23" i="37" s="1"/>
  <c r="F96" i="14"/>
  <c r="G96" i="14" s="1"/>
  <c r="B106" i="14"/>
  <c r="F95" i="14"/>
  <c r="G95" i="14" s="1"/>
  <c r="F94" i="14"/>
  <c r="G94" i="14" s="1"/>
  <c r="F97" i="14"/>
  <c r="G97" i="14" s="1"/>
  <c r="G97" i="31"/>
  <c r="F118" i="15"/>
  <c r="G118" i="15" s="1"/>
  <c r="F117" i="15"/>
  <c r="G117" i="15" s="1"/>
  <c r="D151" i="15"/>
  <c r="J47" i="31"/>
  <c r="D149" i="14"/>
  <c r="D166" i="15"/>
  <c r="D154" i="15" s="1"/>
  <c r="D154" i="31"/>
  <c r="G148" i="31"/>
  <c r="I5" i="36"/>
  <c r="F12" i="36"/>
  <c r="I12" i="36" s="1"/>
  <c r="G5" i="36"/>
  <c r="G12" i="36" s="1"/>
  <c r="F154" i="15" l="1"/>
  <c r="E50" i="40"/>
  <c r="E40" i="38"/>
  <c r="F139" i="31"/>
  <c r="F153" i="15"/>
  <c r="E49" i="40"/>
  <c r="F138" i="31"/>
  <c r="E39" i="38"/>
  <c r="F137" i="31"/>
  <c r="E38" i="38"/>
  <c r="G119" i="15"/>
  <c r="I23" i="37" s="1"/>
  <c r="E41" i="38"/>
  <c r="D164" i="31"/>
  <c r="D162" i="31"/>
  <c r="D160" i="31"/>
  <c r="D158" i="31"/>
  <c r="E70" i="38" s="1"/>
  <c r="D163" i="31"/>
  <c r="D161" i="31"/>
  <c r="E73" i="38" s="1"/>
  <c r="D159" i="31"/>
  <c r="E37" i="38"/>
  <c r="E46" i="40"/>
  <c r="E172" i="15"/>
  <c r="E170" i="15"/>
  <c r="E96" i="40" s="1"/>
  <c r="E100" i="40" s="1"/>
  <c r="E173" i="15"/>
  <c r="G173" i="15" s="1"/>
  <c r="E171" i="15"/>
  <c r="E47" i="40"/>
  <c r="F151" i="15"/>
  <c r="F152" i="15"/>
  <c r="E48" i="40"/>
  <c r="E156" i="14"/>
  <c r="G156" i="14" s="1"/>
  <c r="E154" i="14"/>
  <c r="E104" i="39" s="1"/>
  <c r="E155" i="14"/>
  <c r="E153" i="14"/>
  <c r="E103" i="39" s="1"/>
  <c r="G139" i="14"/>
  <c r="G143" i="14" s="1"/>
  <c r="I8" i="37"/>
  <c r="N7" i="37" s="1"/>
  <c r="G99" i="14"/>
  <c r="I15" i="37" s="1"/>
  <c r="J48" i="31"/>
  <c r="J49" i="31" s="1"/>
  <c r="J52" i="31" s="1"/>
  <c r="E45" i="40"/>
  <c r="G149" i="31"/>
  <c r="G152" i="31" s="1"/>
  <c r="E89" i="38"/>
  <c r="E90" i="38"/>
  <c r="E105" i="39"/>
  <c r="D159" i="14"/>
  <c r="D176" i="15"/>
  <c r="D167" i="31"/>
  <c r="G158" i="31"/>
  <c r="H5" i="36"/>
  <c r="H12" i="36" s="1"/>
  <c r="F142" i="31" l="1"/>
  <c r="D8" i="37" s="1"/>
  <c r="F155" i="15"/>
  <c r="G170" i="15"/>
  <c r="G159" i="31"/>
  <c r="E71" i="38"/>
  <c r="G163" i="31"/>
  <c r="E75" i="38"/>
  <c r="G160" i="31"/>
  <c r="E72" i="38"/>
  <c r="E76" i="38"/>
  <c r="G162" i="31"/>
  <c r="E74" i="38"/>
  <c r="D169" i="14"/>
  <c r="G169" i="14" s="1"/>
  <c r="D167" i="14"/>
  <c r="D165" i="14"/>
  <c r="D163" i="14"/>
  <c r="D168" i="14"/>
  <c r="D166" i="14"/>
  <c r="D164" i="14"/>
  <c r="D172" i="14"/>
  <c r="D180" i="14" s="1"/>
  <c r="N23" i="37"/>
  <c r="J23" i="15"/>
  <c r="J25" i="15" s="1"/>
  <c r="G171" i="15"/>
  <c r="E97" i="40"/>
  <c r="G172" i="15"/>
  <c r="E98" i="40"/>
  <c r="D189" i="15"/>
  <c r="D181" i="15"/>
  <c r="D182" i="15"/>
  <c r="D183" i="15"/>
  <c r="D180" i="15"/>
  <c r="E78" i="40" s="1"/>
  <c r="D176" i="31"/>
  <c r="D172" i="31"/>
  <c r="A207" i="31" l="1"/>
  <c r="D185" i="31"/>
  <c r="D182" i="31"/>
  <c r="D180" i="31"/>
  <c r="D184" i="31"/>
  <c r="D181" i="31"/>
  <c r="D191" i="14"/>
  <c r="D189" i="14"/>
  <c r="E64" i="39" s="1"/>
  <c r="D188" i="14"/>
  <c r="D186" i="14"/>
  <c r="E61" i="39" s="1"/>
  <c r="D184" i="14"/>
  <c r="D190" i="14"/>
  <c r="D187" i="14"/>
  <c r="D185" i="14"/>
  <c r="G183" i="15"/>
  <c r="E81" i="40"/>
  <c r="G181" i="15"/>
  <c r="E79" i="40"/>
  <c r="G182" i="15"/>
  <c r="E80" i="40"/>
  <c r="G166" i="14"/>
  <c r="E88" i="39"/>
  <c r="G163" i="14"/>
  <c r="E85" i="39"/>
  <c r="G167" i="14"/>
  <c r="E89" i="39"/>
  <c r="G164" i="14"/>
  <c r="E86" i="39"/>
  <c r="G168" i="14"/>
  <c r="E90" i="39"/>
  <c r="G165" i="14"/>
  <c r="E87" i="39"/>
  <c r="E91" i="39"/>
  <c r="A211" i="14"/>
  <c r="G174" i="15"/>
  <c r="G165" i="31"/>
  <c r="G8" i="37" s="1"/>
  <c r="G180" i="15"/>
  <c r="D185" i="15"/>
  <c r="D184" i="15"/>
  <c r="D186" i="15"/>
  <c r="G172" i="31"/>
  <c r="H8" i="37" s="1"/>
  <c r="E93" i="38"/>
  <c r="D197" i="15"/>
  <c r="D194" i="15"/>
  <c r="G194" i="15" s="1"/>
  <c r="G195" i="15" l="1"/>
  <c r="H23" i="37" s="1"/>
  <c r="F185" i="14"/>
  <c r="E60" i="39"/>
  <c r="F190" i="14"/>
  <c r="E65" i="39"/>
  <c r="D232" i="14"/>
  <c r="E126" i="39" s="1"/>
  <c r="D223" i="14"/>
  <c r="E117" i="39" s="1"/>
  <c r="D217" i="14"/>
  <c r="E111" i="39" s="1"/>
  <c r="D233" i="14"/>
  <c r="E127" i="39" s="1"/>
  <c r="D235" i="14"/>
  <c r="E129" i="39" s="1"/>
  <c r="D237" i="14"/>
  <c r="E131" i="39" s="1"/>
  <c r="D239" i="14"/>
  <c r="E133" i="39" s="1"/>
  <c r="D241" i="14"/>
  <c r="E135" i="39" s="1"/>
  <c r="D243" i="14"/>
  <c r="E137" i="39" s="1"/>
  <c r="D247" i="14"/>
  <c r="E141" i="39" s="1"/>
  <c r="D249" i="14"/>
  <c r="E143" i="39" s="1"/>
  <c r="D251" i="14"/>
  <c r="E145" i="39" s="1"/>
  <c r="D253" i="14"/>
  <c r="E147" i="39" s="1"/>
  <c r="D255" i="14"/>
  <c r="E149" i="39" s="1"/>
  <c r="D257" i="14"/>
  <c r="E151" i="39" s="1"/>
  <c r="D259" i="14"/>
  <c r="E153" i="39" s="1"/>
  <c r="D261" i="14"/>
  <c r="E155" i="39" s="1"/>
  <c r="D265" i="14"/>
  <c r="E159" i="39" s="1"/>
  <c r="D269" i="14"/>
  <c r="E163" i="39" s="1"/>
  <c r="D271" i="14"/>
  <c r="E165" i="39" s="1"/>
  <c r="D275" i="14"/>
  <c r="E169" i="39" s="1"/>
  <c r="D279" i="14"/>
  <c r="E173" i="39" s="1"/>
  <c r="D287" i="14"/>
  <c r="E181" i="39" s="1"/>
  <c r="D291" i="14"/>
  <c r="E185" i="39" s="1"/>
  <c r="D297" i="14"/>
  <c r="E191" i="39" s="1"/>
  <c r="D301" i="14"/>
  <c r="E195" i="39" s="1"/>
  <c r="D305" i="14"/>
  <c r="E199" i="39" s="1"/>
  <c r="D309" i="14"/>
  <c r="E203" i="39" s="1"/>
  <c r="D315" i="14"/>
  <c r="E209" i="39" s="1"/>
  <c r="D319" i="14"/>
  <c r="E213" i="39" s="1"/>
  <c r="D323" i="14"/>
  <c r="E217" i="39" s="1"/>
  <c r="D327" i="14"/>
  <c r="E221" i="39" s="1"/>
  <c r="D331" i="14"/>
  <c r="E225" i="39" s="1"/>
  <c r="D337" i="14"/>
  <c r="E231" i="39" s="1"/>
  <c r="D341" i="14"/>
  <c r="E235" i="39" s="1"/>
  <c r="D345" i="14"/>
  <c r="E239" i="39" s="1"/>
  <c r="D349" i="14"/>
  <c r="E243" i="39" s="1"/>
  <c r="D353" i="14"/>
  <c r="D357" i="14"/>
  <c r="D363" i="14"/>
  <c r="D367" i="14"/>
  <c r="D371" i="14"/>
  <c r="D375" i="14"/>
  <c r="D379" i="14"/>
  <c r="D385" i="14"/>
  <c r="D387" i="14"/>
  <c r="D391" i="14"/>
  <c r="D395" i="14"/>
  <c r="D401" i="14"/>
  <c r="D405" i="14"/>
  <c r="D409" i="14"/>
  <c r="D227" i="14"/>
  <c r="E121" i="39" s="1"/>
  <c r="D229" i="14"/>
  <c r="D218" i="14"/>
  <c r="E112" i="39" s="1"/>
  <c r="D234" i="14"/>
  <c r="E128" i="39" s="1"/>
  <c r="D236" i="14"/>
  <c r="E130" i="39" s="1"/>
  <c r="D238" i="14"/>
  <c r="E132" i="39" s="1"/>
  <c r="D240" i="14"/>
  <c r="E134" i="39" s="1"/>
  <c r="D242" i="14"/>
  <c r="E136" i="39" s="1"/>
  <c r="D244" i="14"/>
  <c r="E138" i="39" s="1"/>
  <c r="D246" i="14"/>
  <c r="E140" i="39" s="1"/>
  <c r="D248" i="14"/>
  <c r="E142" i="39" s="1"/>
  <c r="D250" i="14"/>
  <c r="E144" i="39" s="1"/>
  <c r="D252" i="14"/>
  <c r="E146" i="39" s="1"/>
  <c r="D254" i="14"/>
  <c r="E148" i="39" s="1"/>
  <c r="D256" i="14"/>
  <c r="E150" i="39" s="1"/>
  <c r="D258" i="14"/>
  <c r="E152" i="39" s="1"/>
  <c r="D260" i="14"/>
  <c r="E154" i="39" s="1"/>
  <c r="D262" i="14"/>
  <c r="E156" i="39" s="1"/>
  <c r="D264" i="14"/>
  <c r="E158" i="39" s="1"/>
  <c r="D266" i="14"/>
  <c r="E160" i="39" s="1"/>
  <c r="D268" i="14"/>
  <c r="E162" i="39" s="1"/>
  <c r="D270" i="14"/>
  <c r="E164" i="39" s="1"/>
  <c r="D272" i="14"/>
  <c r="E166" i="39" s="1"/>
  <c r="D274" i="14"/>
  <c r="E168" i="39" s="1"/>
  <c r="D276" i="14"/>
  <c r="E170" i="39" s="1"/>
  <c r="D278" i="14"/>
  <c r="E172" i="39" s="1"/>
  <c r="D280" i="14"/>
  <c r="E174" i="39" s="1"/>
  <c r="D282" i="14"/>
  <c r="E176" i="39" s="1"/>
  <c r="D284" i="14"/>
  <c r="E178" i="39" s="1"/>
  <c r="D286" i="14"/>
  <c r="E180" i="39" s="1"/>
  <c r="D288" i="14"/>
  <c r="E182" i="39" s="1"/>
  <c r="D290" i="14"/>
  <c r="E184" i="39" s="1"/>
  <c r="D292" i="14"/>
  <c r="E186" i="39" s="1"/>
  <c r="D294" i="14"/>
  <c r="E188" i="39" s="1"/>
  <c r="D296" i="14"/>
  <c r="E190" i="39" s="1"/>
  <c r="D298" i="14"/>
  <c r="E192" i="39" s="1"/>
  <c r="D300" i="14"/>
  <c r="E194" i="39" s="1"/>
  <c r="D302" i="14"/>
  <c r="E196" i="39" s="1"/>
  <c r="D304" i="14"/>
  <c r="E198" i="39" s="1"/>
  <c r="D306" i="14"/>
  <c r="E200" i="39" s="1"/>
  <c r="D308" i="14"/>
  <c r="E202" i="39" s="1"/>
  <c r="D310" i="14"/>
  <c r="E204" i="39" s="1"/>
  <c r="D312" i="14"/>
  <c r="E206" i="39" s="1"/>
  <c r="D314" i="14"/>
  <c r="E208" i="39" s="1"/>
  <c r="D316" i="14"/>
  <c r="E210" i="39" s="1"/>
  <c r="D318" i="14"/>
  <c r="E212" i="39" s="1"/>
  <c r="D320" i="14"/>
  <c r="E214" i="39" s="1"/>
  <c r="D322" i="14"/>
  <c r="E216" i="39" s="1"/>
  <c r="D324" i="14"/>
  <c r="E218" i="39" s="1"/>
  <c r="D326" i="14"/>
  <c r="E220" i="39" s="1"/>
  <c r="D328" i="14"/>
  <c r="E222" i="39" s="1"/>
  <c r="D330" i="14"/>
  <c r="E224" i="39" s="1"/>
  <c r="D332" i="14"/>
  <c r="E226" i="39" s="1"/>
  <c r="D334" i="14"/>
  <c r="E228" i="39" s="1"/>
  <c r="D336" i="14"/>
  <c r="E230" i="39" s="1"/>
  <c r="D338" i="14"/>
  <c r="E232" i="39" s="1"/>
  <c r="D340" i="14"/>
  <c r="E234" i="39" s="1"/>
  <c r="D342" i="14"/>
  <c r="E236" i="39" s="1"/>
  <c r="D344" i="14"/>
  <c r="E238" i="39" s="1"/>
  <c r="D346" i="14"/>
  <c r="E240" i="39" s="1"/>
  <c r="D348" i="14"/>
  <c r="E242" i="39" s="1"/>
  <c r="D350" i="14"/>
  <c r="E244" i="39" s="1"/>
  <c r="D352" i="14"/>
  <c r="D354" i="14"/>
  <c r="D356" i="14"/>
  <c r="D358" i="14"/>
  <c r="D360" i="14"/>
  <c r="D362" i="14"/>
  <c r="D364" i="14"/>
  <c r="D366" i="14"/>
  <c r="D368" i="14"/>
  <c r="D370" i="14"/>
  <c r="D372" i="14"/>
  <c r="D374" i="14"/>
  <c r="D376" i="14"/>
  <c r="D378" i="14"/>
  <c r="D380" i="14"/>
  <c r="D382" i="14"/>
  <c r="D384" i="14"/>
  <c r="D386" i="14"/>
  <c r="D388" i="14"/>
  <c r="D390" i="14"/>
  <c r="D392" i="14"/>
  <c r="D394" i="14"/>
  <c r="D396" i="14"/>
  <c r="D398" i="14"/>
  <c r="D400" i="14"/>
  <c r="D402" i="14"/>
  <c r="D404" i="14"/>
  <c r="D406" i="14"/>
  <c r="D408" i="14"/>
  <c r="D410" i="14"/>
  <c r="D245" i="14"/>
  <c r="E139" i="39" s="1"/>
  <c r="D263" i="14"/>
  <c r="E157" i="39" s="1"/>
  <c r="D267" i="14"/>
  <c r="E161" i="39" s="1"/>
  <c r="D273" i="14"/>
  <c r="E167" i="39" s="1"/>
  <c r="D277" i="14"/>
  <c r="E171" i="39" s="1"/>
  <c r="D281" i="14"/>
  <c r="E175" i="39" s="1"/>
  <c r="D283" i="14"/>
  <c r="E177" i="39" s="1"/>
  <c r="D285" i="14"/>
  <c r="E179" i="39" s="1"/>
  <c r="D289" i="14"/>
  <c r="E183" i="39" s="1"/>
  <c r="D293" i="14"/>
  <c r="E187" i="39" s="1"/>
  <c r="D295" i="14"/>
  <c r="E189" i="39" s="1"/>
  <c r="D299" i="14"/>
  <c r="E193" i="39" s="1"/>
  <c r="D303" i="14"/>
  <c r="E197" i="39" s="1"/>
  <c r="D307" i="14"/>
  <c r="E201" i="39" s="1"/>
  <c r="D311" i="14"/>
  <c r="E205" i="39" s="1"/>
  <c r="D313" i="14"/>
  <c r="E207" i="39" s="1"/>
  <c r="D317" i="14"/>
  <c r="E211" i="39" s="1"/>
  <c r="D321" i="14"/>
  <c r="E215" i="39" s="1"/>
  <c r="D325" i="14"/>
  <c r="E219" i="39" s="1"/>
  <c r="D329" i="14"/>
  <c r="E223" i="39" s="1"/>
  <c r="D333" i="14"/>
  <c r="E227" i="39" s="1"/>
  <c r="D335" i="14"/>
  <c r="E229" i="39" s="1"/>
  <c r="D339" i="14"/>
  <c r="E233" i="39" s="1"/>
  <c r="D343" i="14"/>
  <c r="E237" i="39" s="1"/>
  <c r="D347" i="14"/>
  <c r="E241" i="39" s="1"/>
  <c r="D351" i="14"/>
  <c r="E245" i="39" s="1"/>
  <c r="D355" i="14"/>
  <c r="D359" i="14"/>
  <c r="D361" i="14"/>
  <c r="D365" i="14"/>
  <c r="D369" i="14"/>
  <c r="D373" i="14"/>
  <c r="D377" i="14"/>
  <c r="D381" i="14"/>
  <c r="D383" i="14"/>
  <c r="D389" i="14"/>
  <c r="D393" i="14"/>
  <c r="D397" i="14"/>
  <c r="D399" i="14"/>
  <c r="D403" i="14"/>
  <c r="D407" i="14"/>
  <c r="D411" i="14"/>
  <c r="F187" i="14"/>
  <c r="E62" i="39"/>
  <c r="F184" i="14"/>
  <c r="E59" i="39"/>
  <c r="F188" i="14"/>
  <c r="E63" i="39"/>
  <c r="F191" i="14"/>
  <c r="E66" i="39"/>
  <c r="E45" i="38"/>
  <c r="F181" i="31"/>
  <c r="E44" i="38"/>
  <c r="F180" i="31"/>
  <c r="E49" i="38"/>
  <c r="F185" i="31"/>
  <c r="E48" i="38"/>
  <c r="F184" i="31"/>
  <c r="D189" i="31"/>
  <c r="D188" i="31"/>
  <c r="E46" i="38"/>
  <c r="F182" i="31"/>
  <c r="D183" i="31"/>
  <c r="D186" i="31"/>
  <c r="D187" i="31"/>
  <c r="D230" i="31"/>
  <c r="E114" i="38" s="1"/>
  <c r="D232" i="31"/>
  <c r="E116" i="38" s="1"/>
  <c r="D234" i="31"/>
  <c r="E118" i="38" s="1"/>
  <c r="D236" i="31"/>
  <c r="E120" i="38" s="1"/>
  <c r="D238" i="31"/>
  <c r="E122" i="38" s="1"/>
  <c r="D240" i="31"/>
  <c r="E124" i="38" s="1"/>
  <c r="D242" i="31"/>
  <c r="E126" i="38" s="1"/>
  <c r="D244" i="31"/>
  <c r="E128" i="38" s="1"/>
  <c r="D246" i="31"/>
  <c r="E130" i="38" s="1"/>
  <c r="D248" i="31"/>
  <c r="E132" i="38" s="1"/>
  <c r="D250" i="31"/>
  <c r="E134" i="38" s="1"/>
  <c r="D252" i="31"/>
  <c r="E136" i="38" s="1"/>
  <c r="D254" i="31"/>
  <c r="E138" i="38" s="1"/>
  <c r="D256" i="31"/>
  <c r="E140" i="38" s="1"/>
  <c r="D258" i="31"/>
  <c r="E142" i="38" s="1"/>
  <c r="D260" i="31"/>
  <c r="E144" i="38" s="1"/>
  <c r="D262" i="31"/>
  <c r="E146" i="38" s="1"/>
  <c r="D264" i="31"/>
  <c r="E148" i="38" s="1"/>
  <c r="D266" i="31"/>
  <c r="E150" i="38" s="1"/>
  <c r="D268" i="31"/>
  <c r="E152" i="38" s="1"/>
  <c r="D270" i="31"/>
  <c r="E154" i="38" s="1"/>
  <c r="D272" i="31"/>
  <c r="E156" i="38" s="1"/>
  <c r="D274" i="31"/>
  <c r="E158" i="38" s="1"/>
  <c r="D276" i="31"/>
  <c r="E160" i="38" s="1"/>
  <c r="D278" i="31"/>
  <c r="E162" i="38" s="1"/>
  <c r="D280" i="31"/>
  <c r="E164" i="38" s="1"/>
  <c r="D282" i="31"/>
  <c r="E166" i="38" s="1"/>
  <c r="D284" i="31"/>
  <c r="E168" i="38" s="1"/>
  <c r="D286" i="31"/>
  <c r="E170" i="38" s="1"/>
  <c r="D288" i="31"/>
  <c r="E172" i="38" s="1"/>
  <c r="D290" i="31"/>
  <c r="E174" i="38" s="1"/>
  <c r="D292" i="31"/>
  <c r="E176" i="38" s="1"/>
  <c r="D294" i="31"/>
  <c r="E178" i="38" s="1"/>
  <c r="D296" i="31"/>
  <c r="E180" i="38" s="1"/>
  <c r="D298" i="31"/>
  <c r="E182" i="38" s="1"/>
  <c r="D300" i="31"/>
  <c r="E184" i="38" s="1"/>
  <c r="D302" i="31"/>
  <c r="E186" i="38" s="1"/>
  <c r="D304" i="31"/>
  <c r="E188" i="38" s="1"/>
  <c r="D306" i="31"/>
  <c r="E190" i="38" s="1"/>
  <c r="D308" i="31"/>
  <c r="E192" i="38" s="1"/>
  <c r="D310" i="31"/>
  <c r="E194" i="38" s="1"/>
  <c r="D312" i="31"/>
  <c r="E196" i="38" s="1"/>
  <c r="D314" i="31"/>
  <c r="E198" i="38" s="1"/>
  <c r="D316" i="31"/>
  <c r="E200" i="38" s="1"/>
  <c r="D318" i="31"/>
  <c r="E202" i="38" s="1"/>
  <c r="D320" i="31"/>
  <c r="E204" i="38" s="1"/>
  <c r="D322" i="31"/>
  <c r="E206" i="38" s="1"/>
  <c r="D324" i="31"/>
  <c r="E208" i="38" s="1"/>
  <c r="D326" i="31"/>
  <c r="E210" i="38" s="1"/>
  <c r="D328" i="31"/>
  <c r="E212" i="38" s="1"/>
  <c r="D330" i="31"/>
  <c r="E214" i="38" s="1"/>
  <c r="D332" i="31"/>
  <c r="E216" i="38" s="1"/>
  <c r="D334" i="31"/>
  <c r="E218" i="38" s="1"/>
  <c r="D336" i="31"/>
  <c r="E220" i="38" s="1"/>
  <c r="D338" i="31"/>
  <c r="E222" i="38" s="1"/>
  <c r="D340" i="31"/>
  <c r="E224" i="38" s="1"/>
  <c r="D342" i="31"/>
  <c r="E226" i="38" s="1"/>
  <c r="D344" i="31"/>
  <c r="E228" i="38" s="1"/>
  <c r="D346" i="31"/>
  <c r="E230" i="38" s="1"/>
  <c r="D348" i="31"/>
  <c r="E232" i="38" s="1"/>
  <c r="D350" i="31"/>
  <c r="E234" i="38" s="1"/>
  <c r="D352" i="31"/>
  <c r="E236" i="38" s="1"/>
  <c r="D354" i="3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231" i="31"/>
  <c r="E115" i="38" s="1"/>
  <c r="D235" i="31"/>
  <c r="E119" i="38" s="1"/>
  <c r="D239" i="31"/>
  <c r="E123" i="38" s="1"/>
  <c r="D243" i="31"/>
  <c r="E127" i="38" s="1"/>
  <c r="D247" i="31"/>
  <c r="E131" i="38" s="1"/>
  <c r="D251" i="31"/>
  <c r="E135" i="38" s="1"/>
  <c r="D255" i="31"/>
  <c r="E139" i="38" s="1"/>
  <c r="D259" i="31"/>
  <c r="E143" i="38" s="1"/>
  <c r="D263" i="31"/>
  <c r="E147" i="38" s="1"/>
  <c r="D267" i="31"/>
  <c r="E151" i="38" s="1"/>
  <c r="D271" i="31"/>
  <c r="E155" i="38" s="1"/>
  <c r="D275" i="31"/>
  <c r="E159" i="38" s="1"/>
  <c r="D279" i="31"/>
  <c r="E163" i="38" s="1"/>
  <c r="D283" i="31"/>
  <c r="E167" i="38" s="1"/>
  <c r="D287" i="31"/>
  <c r="E171" i="38" s="1"/>
  <c r="D291" i="31"/>
  <c r="E175" i="38" s="1"/>
  <c r="D295" i="31"/>
  <c r="E179" i="38" s="1"/>
  <c r="D299" i="31"/>
  <c r="E183" i="38" s="1"/>
  <c r="D303" i="31"/>
  <c r="E187" i="38" s="1"/>
  <c r="D307" i="31"/>
  <c r="E191" i="38" s="1"/>
  <c r="D311" i="31"/>
  <c r="E195" i="38" s="1"/>
  <c r="D315" i="31"/>
  <c r="E199" i="38" s="1"/>
  <c r="D319" i="31"/>
  <c r="E203" i="38" s="1"/>
  <c r="D323" i="31"/>
  <c r="E207" i="38" s="1"/>
  <c r="D327" i="31"/>
  <c r="E211" i="38" s="1"/>
  <c r="D331" i="31"/>
  <c r="E215" i="38" s="1"/>
  <c r="D335" i="31"/>
  <c r="E219" i="38" s="1"/>
  <c r="D339" i="31"/>
  <c r="E223" i="38" s="1"/>
  <c r="D343" i="31"/>
  <c r="E227" i="38" s="1"/>
  <c r="D347" i="31"/>
  <c r="E231" i="38" s="1"/>
  <c r="D351" i="31"/>
  <c r="E235" i="38" s="1"/>
  <c r="D355" i="31"/>
  <c r="D359" i="31"/>
  <c r="D363" i="31"/>
  <c r="D367" i="31"/>
  <c r="D371" i="31"/>
  <c r="D375" i="31"/>
  <c r="D379" i="31"/>
  <c r="D383" i="31"/>
  <c r="D387" i="31"/>
  <c r="D391" i="31"/>
  <c r="D395" i="31"/>
  <c r="D399" i="31"/>
  <c r="D401" i="31"/>
  <c r="D403" i="31"/>
  <c r="D405" i="31"/>
  <c r="D407" i="31"/>
  <c r="D227" i="31"/>
  <c r="D226" i="31"/>
  <c r="D229" i="31"/>
  <c r="E113" i="38" s="1"/>
  <c r="D233" i="31"/>
  <c r="E117" i="38" s="1"/>
  <c r="D237" i="31"/>
  <c r="E121" i="38" s="1"/>
  <c r="D241" i="31"/>
  <c r="E125" i="38" s="1"/>
  <c r="D245" i="31"/>
  <c r="D249" i="31"/>
  <c r="E133" i="38" s="1"/>
  <c r="D253" i="31"/>
  <c r="E137" i="38" s="1"/>
  <c r="D257" i="31"/>
  <c r="E141" i="38" s="1"/>
  <c r="D261" i="31"/>
  <c r="E145" i="38" s="1"/>
  <c r="D265" i="31"/>
  <c r="E149" i="38" s="1"/>
  <c r="D269" i="31"/>
  <c r="E153" i="38" s="1"/>
  <c r="D273" i="31"/>
  <c r="E157" i="38" s="1"/>
  <c r="D277" i="31"/>
  <c r="E161" i="38" s="1"/>
  <c r="D281" i="31"/>
  <c r="E165" i="38" s="1"/>
  <c r="D285" i="31"/>
  <c r="E169" i="38" s="1"/>
  <c r="D289" i="31"/>
  <c r="E173" i="38" s="1"/>
  <c r="D293" i="31"/>
  <c r="E177" i="38" s="1"/>
  <c r="D297" i="31"/>
  <c r="E181" i="38" s="1"/>
  <c r="D301" i="31"/>
  <c r="E185" i="38" s="1"/>
  <c r="D305" i="31"/>
  <c r="E189" i="38" s="1"/>
  <c r="D309" i="31"/>
  <c r="E193" i="38" s="1"/>
  <c r="D313" i="31"/>
  <c r="E197" i="38" s="1"/>
  <c r="D317" i="31"/>
  <c r="E201" i="38" s="1"/>
  <c r="D321" i="31"/>
  <c r="E205" i="38" s="1"/>
  <c r="D325" i="31"/>
  <c r="E209" i="38" s="1"/>
  <c r="D329" i="31"/>
  <c r="E213" i="38" s="1"/>
  <c r="D333" i="31"/>
  <c r="E217" i="38" s="1"/>
  <c r="D337" i="31"/>
  <c r="E221" i="38" s="1"/>
  <c r="D341" i="31"/>
  <c r="E225" i="38" s="1"/>
  <c r="D345" i="31"/>
  <c r="E229" i="38" s="1"/>
  <c r="D349" i="31"/>
  <c r="E233" i="38" s="1"/>
  <c r="D353" i="31"/>
  <c r="E237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0" i="31"/>
  <c r="D402" i="31"/>
  <c r="D404" i="31"/>
  <c r="D406" i="31"/>
  <c r="D228" i="31"/>
  <c r="E112" i="38" s="1"/>
  <c r="D224" i="31"/>
  <c r="D222" i="31"/>
  <c r="E106" i="38" s="1"/>
  <c r="D218" i="31"/>
  <c r="D214" i="31"/>
  <c r="D212" i="31"/>
  <c r="E96" i="38" s="1"/>
  <c r="D223" i="31"/>
  <c r="E107" i="38" s="1"/>
  <c r="D219" i="31"/>
  <c r="E103" i="38" s="1"/>
  <c r="D215" i="31"/>
  <c r="E99" i="38" s="1"/>
  <c r="D213" i="31"/>
  <c r="E97" i="38" s="1"/>
  <c r="D211" i="31"/>
  <c r="F229" i="14"/>
  <c r="D225" i="14"/>
  <c r="D221" i="14"/>
  <c r="D219" i="14"/>
  <c r="F217" i="14"/>
  <c r="D215" i="14"/>
  <c r="F234" i="14"/>
  <c r="F232" i="14"/>
  <c r="F228" i="14"/>
  <c r="F226" i="14"/>
  <c r="F224" i="14"/>
  <c r="D222" i="14"/>
  <c r="D220" i="14"/>
  <c r="D216" i="14"/>
  <c r="D193" i="14"/>
  <c r="D192" i="14"/>
  <c r="E67" i="39" s="1"/>
  <c r="D194" i="14"/>
  <c r="F186" i="14"/>
  <c r="D195" i="14"/>
  <c r="E70" i="39" s="1"/>
  <c r="D197" i="14"/>
  <c r="D196" i="14"/>
  <c r="F189" i="14"/>
  <c r="G170" i="14"/>
  <c r="G184" i="15"/>
  <c r="E82" i="40"/>
  <c r="E84" i="40"/>
  <c r="G185" i="15"/>
  <c r="E83" i="40"/>
  <c r="F235" i="14"/>
  <c r="A228" i="15"/>
  <c r="F218" i="14" l="1"/>
  <c r="F223" i="14"/>
  <c r="F227" i="14"/>
  <c r="F233" i="14"/>
  <c r="F193" i="14"/>
  <c r="E68" i="39"/>
  <c r="F222" i="14"/>
  <c r="E116" i="39"/>
  <c r="F219" i="14"/>
  <c r="E113" i="39"/>
  <c r="E297" i="39"/>
  <c r="F403" i="14"/>
  <c r="E283" i="39"/>
  <c r="F389" i="14"/>
  <c r="E267" i="39"/>
  <c r="F373" i="14"/>
  <c r="F197" i="14"/>
  <c r="E72" i="39"/>
  <c r="F216" i="14"/>
  <c r="E110" i="39"/>
  <c r="F220" i="14"/>
  <c r="E114" i="39"/>
  <c r="F221" i="14"/>
  <c r="E115" i="39"/>
  <c r="F225" i="14"/>
  <c r="E119" i="39"/>
  <c r="E301" i="39"/>
  <c r="F407" i="14"/>
  <c r="E293" i="39"/>
  <c r="F399" i="14"/>
  <c r="E287" i="39"/>
  <c r="F393" i="14"/>
  <c r="E277" i="39"/>
  <c r="F383" i="14"/>
  <c r="E271" i="39"/>
  <c r="F377" i="14"/>
  <c r="E263" i="39"/>
  <c r="F369" i="14"/>
  <c r="E255" i="39"/>
  <c r="F361" i="14"/>
  <c r="E249" i="39"/>
  <c r="F355" i="14"/>
  <c r="F408" i="14"/>
  <c r="E302" i="39"/>
  <c r="F404" i="14"/>
  <c r="E298" i="39"/>
  <c r="F400" i="14"/>
  <c r="E294" i="39"/>
  <c r="F396" i="14"/>
  <c r="E290" i="39"/>
  <c r="F392" i="14"/>
  <c r="E286" i="39"/>
  <c r="F388" i="14"/>
  <c r="E282" i="39"/>
  <c r="F384" i="14"/>
  <c r="E278" i="39"/>
  <c r="F380" i="14"/>
  <c r="E274" i="39"/>
  <c r="F376" i="14"/>
  <c r="E270" i="39"/>
  <c r="F372" i="14"/>
  <c r="E266" i="39"/>
  <c r="F368" i="14"/>
  <c r="E262" i="39"/>
  <c r="F364" i="14"/>
  <c r="E258" i="39"/>
  <c r="F360" i="14"/>
  <c r="E254" i="39"/>
  <c r="F356" i="14"/>
  <c r="E250" i="39"/>
  <c r="F352" i="14"/>
  <c r="E246" i="39"/>
  <c r="E299" i="39"/>
  <c r="F405" i="14"/>
  <c r="E289" i="39"/>
  <c r="F395" i="14"/>
  <c r="E281" i="39"/>
  <c r="F387" i="14"/>
  <c r="E273" i="39"/>
  <c r="F379" i="14"/>
  <c r="E265" i="39"/>
  <c r="F371" i="14"/>
  <c r="E257" i="39"/>
  <c r="F363" i="14"/>
  <c r="E247" i="39"/>
  <c r="F353" i="14"/>
  <c r="F196" i="14"/>
  <c r="E71" i="39"/>
  <c r="F194" i="14"/>
  <c r="E69" i="39"/>
  <c r="E305" i="39"/>
  <c r="F411" i="14"/>
  <c r="E291" i="39"/>
  <c r="F397" i="14"/>
  <c r="E275" i="39"/>
  <c r="F381" i="14"/>
  <c r="E259" i="39"/>
  <c r="F365" i="14"/>
  <c r="E253" i="39"/>
  <c r="F359" i="14"/>
  <c r="F410" i="14"/>
  <c r="E304" i="39"/>
  <c r="F406" i="14"/>
  <c r="E300" i="39"/>
  <c r="F402" i="14"/>
  <c r="E296" i="39"/>
  <c r="F398" i="14"/>
  <c r="E292" i="39"/>
  <c r="F394" i="14"/>
  <c r="E288" i="39"/>
  <c r="F390" i="14"/>
  <c r="E284" i="39"/>
  <c r="F386" i="14"/>
  <c r="E280" i="39"/>
  <c r="F382" i="14"/>
  <c r="E276" i="39"/>
  <c r="F378" i="14"/>
  <c r="E272" i="39"/>
  <c r="F374" i="14"/>
  <c r="E268" i="39"/>
  <c r="F370" i="14"/>
  <c r="E264" i="39"/>
  <c r="F366" i="14"/>
  <c r="E260" i="39"/>
  <c r="F362" i="14"/>
  <c r="E256" i="39"/>
  <c r="F358" i="14"/>
  <c r="E252" i="39"/>
  <c r="F354" i="14"/>
  <c r="E248" i="39"/>
  <c r="E123" i="39"/>
  <c r="D231" i="14"/>
  <c r="D230" i="14"/>
  <c r="E303" i="39"/>
  <c r="F409" i="14"/>
  <c r="E295" i="39"/>
  <c r="F401" i="14"/>
  <c r="E285" i="39"/>
  <c r="F391" i="14"/>
  <c r="E279" i="39"/>
  <c r="F385" i="14"/>
  <c r="E269" i="39"/>
  <c r="F375" i="14"/>
  <c r="E261" i="39"/>
  <c r="F367" i="14"/>
  <c r="E251" i="39"/>
  <c r="F357" i="14"/>
  <c r="D220" i="31"/>
  <c r="E102" i="38"/>
  <c r="D225" i="31"/>
  <c r="E109" i="38" s="1"/>
  <c r="E108" i="38"/>
  <c r="E290" i="38"/>
  <c r="F406" i="31"/>
  <c r="E286" i="38"/>
  <c r="F402" i="31"/>
  <c r="E281" i="38"/>
  <c r="F397" i="31"/>
  <c r="E273" i="38"/>
  <c r="F389" i="31"/>
  <c r="E265" i="38"/>
  <c r="F381" i="31"/>
  <c r="E257" i="38"/>
  <c r="F373" i="31"/>
  <c r="E249" i="38"/>
  <c r="F365" i="31"/>
  <c r="E241" i="38"/>
  <c r="F357" i="31"/>
  <c r="E129" i="38"/>
  <c r="F245" i="31"/>
  <c r="E111" i="38"/>
  <c r="F227" i="31"/>
  <c r="E289" i="38"/>
  <c r="F405" i="31"/>
  <c r="E285" i="38"/>
  <c r="F401" i="31"/>
  <c r="E279" i="38"/>
  <c r="F395" i="31"/>
  <c r="E271" i="38"/>
  <c r="F387" i="31"/>
  <c r="E263" i="38"/>
  <c r="F379" i="31"/>
  <c r="E255" i="38"/>
  <c r="F371" i="31"/>
  <c r="E247" i="38"/>
  <c r="F363" i="31"/>
  <c r="E239" i="38"/>
  <c r="F355" i="31"/>
  <c r="E282" i="38"/>
  <c r="F398" i="31"/>
  <c r="E278" i="38"/>
  <c r="F394" i="31"/>
  <c r="E274" i="38"/>
  <c r="F390" i="31"/>
  <c r="E270" i="38"/>
  <c r="F386" i="31"/>
  <c r="E266" i="38"/>
  <c r="F382" i="31"/>
  <c r="E262" i="38"/>
  <c r="F378" i="31"/>
  <c r="E258" i="38"/>
  <c r="F374" i="31"/>
  <c r="E254" i="38"/>
  <c r="F370" i="31"/>
  <c r="E250" i="38"/>
  <c r="F366" i="31"/>
  <c r="E246" i="38"/>
  <c r="F362" i="31"/>
  <c r="E242" i="38"/>
  <c r="F358" i="31"/>
  <c r="E238" i="38"/>
  <c r="F354" i="31"/>
  <c r="E50" i="38"/>
  <c r="F186" i="31"/>
  <c r="D190" i="31"/>
  <c r="D191" i="31"/>
  <c r="E52" i="38"/>
  <c r="F188" i="31"/>
  <c r="D192" i="31"/>
  <c r="D193" i="31"/>
  <c r="D217" i="31"/>
  <c r="E101" i="38" s="1"/>
  <c r="E98" i="38"/>
  <c r="D216" i="31"/>
  <c r="E100" i="38" s="1"/>
  <c r="E288" i="38"/>
  <c r="F404" i="31"/>
  <c r="E284" i="38"/>
  <c r="F400" i="31"/>
  <c r="E277" i="38"/>
  <c r="F393" i="31"/>
  <c r="E269" i="38"/>
  <c r="F385" i="31"/>
  <c r="E261" i="38"/>
  <c r="F377" i="31"/>
  <c r="E253" i="38"/>
  <c r="F369" i="31"/>
  <c r="E245" i="38"/>
  <c r="F361" i="31"/>
  <c r="E110" i="38"/>
  <c r="F226" i="31"/>
  <c r="E291" i="38"/>
  <c r="F407" i="31"/>
  <c r="E287" i="38"/>
  <c r="F403" i="31"/>
  <c r="E283" i="38"/>
  <c r="F399" i="31"/>
  <c r="E275" i="38"/>
  <c r="F391" i="31"/>
  <c r="E267" i="38"/>
  <c r="F383" i="31"/>
  <c r="E259" i="38"/>
  <c r="F375" i="31"/>
  <c r="E251" i="38"/>
  <c r="F367" i="31"/>
  <c r="E243" i="38"/>
  <c r="F359" i="31"/>
  <c r="E280" i="38"/>
  <c r="F396" i="31"/>
  <c r="E276" i="38"/>
  <c r="F392" i="31"/>
  <c r="E272" i="38"/>
  <c r="F388" i="31"/>
  <c r="E268" i="38"/>
  <c r="F384" i="31"/>
  <c r="E264" i="38"/>
  <c r="F380" i="31"/>
  <c r="E260" i="38"/>
  <c r="F376" i="31"/>
  <c r="E256" i="38"/>
  <c r="F372" i="31"/>
  <c r="E252" i="38"/>
  <c r="F368" i="31"/>
  <c r="E248" i="38"/>
  <c r="F364" i="31"/>
  <c r="E244" i="38"/>
  <c r="F360" i="31"/>
  <c r="E240" i="38"/>
  <c r="F356" i="31"/>
  <c r="E51" i="38"/>
  <c r="F187" i="31"/>
  <c r="E47" i="38"/>
  <c r="F183" i="31"/>
  <c r="E53" i="38"/>
  <c r="F189" i="31"/>
  <c r="D201" i="14"/>
  <c r="E76" i="39" s="1"/>
  <c r="D202" i="14"/>
  <c r="E77" i="39" s="1"/>
  <c r="F195" i="14"/>
  <c r="D203" i="14"/>
  <c r="E78" i="39" s="1"/>
  <c r="F311" i="14"/>
  <c r="F307" i="14"/>
  <c r="F303" i="14"/>
  <c r="F299" i="14"/>
  <c r="F295" i="14"/>
  <c r="F291" i="14"/>
  <c r="F287" i="14"/>
  <c r="F283" i="14"/>
  <c r="F279" i="14"/>
  <c r="F275" i="14"/>
  <c r="F271" i="14"/>
  <c r="F319" i="14"/>
  <c r="F315" i="14"/>
  <c r="F327" i="14"/>
  <c r="F323" i="14"/>
  <c r="F336" i="14"/>
  <c r="F332" i="14"/>
  <c r="F328" i="14"/>
  <c r="F339" i="14"/>
  <c r="F349" i="14"/>
  <c r="F345" i="14"/>
  <c r="F308" i="14"/>
  <c r="F304" i="14"/>
  <c r="F300" i="14"/>
  <c r="F296" i="14"/>
  <c r="F292" i="14"/>
  <c r="F288" i="14"/>
  <c r="F284" i="14"/>
  <c r="F280" i="14"/>
  <c r="F276" i="14"/>
  <c r="F272" i="14"/>
  <c r="F320" i="14"/>
  <c r="F316" i="14"/>
  <c r="F312" i="14"/>
  <c r="F324" i="14"/>
  <c r="F337" i="14"/>
  <c r="F333" i="14"/>
  <c r="F329" i="14"/>
  <c r="F340" i="14"/>
  <c r="F350" i="14"/>
  <c r="F346" i="14"/>
  <c r="D199" i="14"/>
  <c r="D200" i="14"/>
  <c r="D198" i="14"/>
  <c r="E73" i="39" s="1"/>
  <c r="F192" i="14"/>
  <c r="F309" i="14"/>
  <c r="F305" i="14"/>
  <c r="F301" i="14"/>
  <c r="F297" i="14"/>
  <c r="F293" i="14"/>
  <c r="F289" i="14"/>
  <c r="F285" i="14"/>
  <c r="F281" i="14"/>
  <c r="F277" i="14"/>
  <c r="F273" i="14"/>
  <c r="F269" i="14"/>
  <c r="F317" i="14"/>
  <c r="F313" i="14"/>
  <c r="F325" i="14"/>
  <c r="F321" i="14"/>
  <c r="F334" i="14"/>
  <c r="F330" i="14"/>
  <c r="F341" i="14"/>
  <c r="F351" i="14"/>
  <c r="F347" i="14"/>
  <c r="F343" i="14"/>
  <c r="F310" i="14"/>
  <c r="F306" i="14"/>
  <c r="F302" i="14"/>
  <c r="F298" i="14"/>
  <c r="F294" i="14"/>
  <c r="F290" i="14"/>
  <c r="F286" i="14"/>
  <c r="F282" i="14"/>
  <c r="F278" i="14"/>
  <c r="F274" i="14"/>
  <c r="F270" i="14"/>
  <c r="F318" i="14"/>
  <c r="F314" i="14"/>
  <c r="F326" i="14"/>
  <c r="F322" i="14"/>
  <c r="F335" i="14"/>
  <c r="F331" i="14"/>
  <c r="F342" i="14"/>
  <c r="F338" i="14"/>
  <c r="F348" i="14"/>
  <c r="F344" i="14"/>
  <c r="F367" i="15"/>
  <c r="F370" i="15"/>
  <c r="F372" i="15"/>
  <c r="F374" i="15"/>
  <c r="F376" i="15"/>
  <c r="F378" i="15"/>
  <c r="F380" i="15"/>
  <c r="F382" i="15"/>
  <c r="F384" i="15"/>
  <c r="F386" i="15"/>
  <c r="F388" i="15"/>
  <c r="F390" i="15"/>
  <c r="F392" i="15"/>
  <c r="F394" i="15"/>
  <c r="F246" i="15"/>
  <c r="F244" i="15"/>
  <c r="D242" i="15"/>
  <c r="F242" i="15" s="1"/>
  <c r="F240" i="15"/>
  <c r="D238" i="15"/>
  <c r="F238" i="15" s="1"/>
  <c r="F366" i="15"/>
  <c r="F368" i="15"/>
  <c r="F369" i="15"/>
  <c r="F371" i="15"/>
  <c r="F373" i="15"/>
  <c r="F375" i="15"/>
  <c r="F377" i="15"/>
  <c r="F381" i="15"/>
  <c r="F385" i="15"/>
  <c r="F389" i="15"/>
  <c r="F393" i="15"/>
  <c r="D245" i="15"/>
  <c r="F245" i="15" s="1"/>
  <c r="F241" i="15"/>
  <c r="F379" i="15"/>
  <c r="F383" i="15"/>
  <c r="F387" i="15"/>
  <c r="F391" i="15"/>
  <c r="F249" i="15"/>
  <c r="F243" i="15"/>
  <c r="D239" i="15"/>
  <c r="F239" i="15" s="1"/>
  <c r="G187" i="15"/>
  <c r="G23" i="37" s="1"/>
  <c r="F231" i="31"/>
  <c r="F223" i="31"/>
  <c r="F229" i="31"/>
  <c r="F224" i="31"/>
  <c r="F230" i="31"/>
  <c r="F285" i="31"/>
  <c r="F281" i="31"/>
  <c r="F277" i="31"/>
  <c r="F273" i="31"/>
  <c r="F269" i="31"/>
  <c r="F265" i="31"/>
  <c r="F297" i="31"/>
  <c r="F293" i="31"/>
  <c r="F289" i="31"/>
  <c r="F307" i="31"/>
  <c r="F303" i="31"/>
  <c r="F323" i="31"/>
  <c r="F319" i="31"/>
  <c r="F315" i="31"/>
  <c r="F311" i="31"/>
  <c r="F336" i="31"/>
  <c r="F332" i="31"/>
  <c r="F328" i="31"/>
  <c r="F353" i="31"/>
  <c r="F349" i="31"/>
  <c r="F345" i="31"/>
  <c r="F341" i="31"/>
  <c r="F286" i="31"/>
  <c r="F282" i="31"/>
  <c r="F278" i="31"/>
  <c r="F274" i="31"/>
  <c r="F270" i="31"/>
  <c r="F266" i="31"/>
  <c r="F298" i="31"/>
  <c r="F294" i="31"/>
  <c r="F290" i="31"/>
  <c r="F308" i="31"/>
  <c r="F304" i="31"/>
  <c r="F324" i="31"/>
  <c r="F320" i="31"/>
  <c r="F316" i="31"/>
  <c r="F312" i="31"/>
  <c r="F337" i="31"/>
  <c r="F333" i="31"/>
  <c r="F329" i="31"/>
  <c r="F325" i="31"/>
  <c r="F350" i="31"/>
  <c r="F346" i="31"/>
  <c r="F342" i="31"/>
  <c r="F225" i="31"/>
  <c r="F222" i="31"/>
  <c r="F228" i="31"/>
  <c r="F287" i="31"/>
  <c r="F283" i="31"/>
  <c r="F279" i="31"/>
  <c r="F275" i="31"/>
  <c r="F271" i="31"/>
  <c r="F267" i="31"/>
  <c r="F299" i="31"/>
  <c r="F295" i="31"/>
  <c r="F291" i="31"/>
  <c r="F309" i="31"/>
  <c r="F305" i="31"/>
  <c r="F301" i="31"/>
  <c r="F321" i="31"/>
  <c r="F317" i="31"/>
  <c r="F313" i="31"/>
  <c r="F338" i="31"/>
  <c r="F334" i="31"/>
  <c r="F330" i="31"/>
  <c r="F326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02" i="31"/>
  <c r="F322" i="31"/>
  <c r="F318" i="31"/>
  <c r="F314" i="31"/>
  <c r="F339" i="31"/>
  <c r="F335" i="31"/>
  <c r="F331" i="31"/>
  <c r="F327" i="31"/>
  <c r="F352" i="31"/>
  <c r="F348" i="31"/>
  <c r="F344" i="31"/>
  <c r="F340" i="31"/>
  <c r="D237" i="15"/>
  <c r="F237" i="15" s="1"/>
  <c r="F235" i="15"/>
  <c r="D233" i="15"/>
  <c r="F233" i="15" s="1"/>
  <c r="D236" i="15"/>
  <c r="F236" i="15" s="1"/>
  <c r="D232" i="15"/>
  <c r="F234" i="15"/>
  <c r="E109" i="39"/>
  <c r="F215" i="14"/>
  <c r="F267" i="14"/>
  <c r="F263" i="14"/>
  <c r="F259" i="14"/>
  <c r="F255" i="14"/>
  <c r="F251" i="14"/>
  <c r="F247" i="14"/>
  <c r="F243" i="14"/>
  <c r="F239" i="14"/>
  <c r="F268" i="14"/>
  <c r="F264" i="14"/>
  <c r="F260" i="14"/>
  <c r="F256" i="14"/>
  <c r="F252" i="14"/>
  <c r="F248" i="14"/>
  <c r="F244" i="14"/>
  <c r="F240" i="14"/>
  <c r="F237" i="14"/>
  <c r="F265" i="14"/>
  <c r="F261" i="14"/>
  <c r="F257" i="14"/>
  <c r="F253" i="14"/>
  <c r="F249" i="14"/>
  <c r="F245" i="14"/>
  <c r="F241" i="14"/>
  <c r="F236" i="14"/>
  <c r="F266" i="14"/>
  <c r="F262" i="14"/>
  <c r="F258" i="14"/>
  <c r="F254" i="14"/>
  <c r="F250" i="14"/>
  <c r="F246" i="14"/>
  <c r="F242" i="14"/>
  <c r="F238" i="14"/>
  <c r="F264" i="31"/>
  <c r="F260" i="31"/>
  <c r="F256" i="31"/>
  <c r="F252" i="31"/>
  <c r="F248" i="31"/>
  <c r="F243" i="31"/>
  <c r="F239" i="31"/>
  <c r="F235" i="31"/>
  <c r="F263" i="31"/>
  <c r="F259" i="31"/>
  <c r="F255" i="31"/>
  <c r="F251" i="31"/>
  <c r="F247" i="31"/>
  <c r="F242" i="31"/>
  <c r="F238" i="31"/>
  <c r="F233" i="31"/>
  <c r="F262" i="31"/>
  <c r="F258" i="31"/>
  <c r="F254" i="31"/>
  <c r="F250" i="31"/>
  <c r="F246" i="31"/>
  <c r="F241" i="31"/>
  <c r="F237" i="31"/>
  <c r="F234" i="31"/>
  <c r="F261" i="31"/>
  <c r="F257" i="31"/>
  <c r="F253" i="31"/>
  <c r="F249" i="31"/>
  <c r="F244" i="31"/>
  <c r="F240" i="31"/>
  <c r="F236" i="31"/>
  <c r="F212" i="31"/>
  <c r="F220" i="31"/>
  <c r="F213" i="31"/>
  <c r="F217" i="31"/>
  <c r="F214" i="31"/>
  <c r="F218" i="31"/>
  <c r="E95" i="38"/>
  <c r="F211" i="31"/>
  <c r="F215" i="31"/>
  <c r="F219" i="31"/>
  <c r="F232" i="31"/>
  <c r="F199" i="14" l="1"/>
  <c r="E74" i="39"/>
  <c r="E125" i="39"/>
  <c r="F231" i="14"/>
  <c r="F200" i="14"/>
  <c r="E75" i="39"/>
  <c r="E124" i="39"/>
  <c r="F230" i="14"/>
  <c r="F444" i="14" s="1"/>
  <c r="E57" i="38"/>
  <c r="F193" i="31"/>
  <c r="E55" i="38"/>
  <c r="F191" i="31"/>
  <c r="F216" i="31"/>
  <c r="E56" i="38"/>
  <c r="F192" i="31"/>
  <c r="D197" i="31"/>
  <c r="D196" i="31"/>
  <c r="E54" i="38"/>
  <c r="F190" i="31"/>
  <c r="D194" i="31"/>
  <c r="D195" i="31"/>
  <c r="D221" i="31"/>
  <c r="E104" i="38"/>
  <c r="F203" i="14"/>
  <c r="D208" i="14"/>
  <c r="F202" i="14"/>
  <c r="D205" i="14"/>
  <c r="E80" i="39" s="1"/>
  <c r="D204" i="14"/>
  <c r="E79" i="39" s="1"/>
  <c r="D206" i="14"/>
  <c r="E81" i="39" s="1"/>
  <c r="F198" i="14"/>
  <c r="D207" i="14"/>
  <c r="E82" i="39" s="1"/>
  <c r="F201" i="14"/>
  <c r="E23" i="37"/>
  <c r="E102" i="40"/>
  <c r="F232" i="15"/>
  <c r="F447" i="15" l="1"/>
  <c r="J23" i="37" s="1"/>
  <c r="F208" i="14"/>
  <c r="E83" i="39"/>
  <c r="E59" i="38"/>
  <c r="F195" i="31"/>
  <c r="E60" i="38"/>
  <c r="F196" i="31"/>
  <c r="D200" i="31"/>
  <c r="D201" i="31"/>
  <c r="E105" i="38"/>
  <c r="F221" i="31"/>
  <c r="J8" i="37" s="1"/>
  <c r="E58" i="38"/>
  <c r="F194" i="31"/>
  <c r="D199" i="31"/>
  <c r="D198" i="31"/>
  <c r="E61" i="38"/>
  <c r="F197" i="31"/>
  <c r="F207" i="14"/>
  <c r="F206" i="14"/>
  <c r="F205" i="14"/>
  <c r="F204" i="14"/>
  <c r="D130" i="14"/>
  <c r="E54" i="39" s="1"/>
  <c r="E62" i="38" l="1"/>
  <c r="F198" i="31"/>
  <c r="D202" i="31"/>
  <c r="D203" i="31"/>
  <c r="E65" i="38"/>
  <c r="F201" i="31"/>
  <c r="E63" i="38"/>
  <c r="F199" i="31"/>
  <c r="D204" i="31"/>
  <c r="E64" i="38"/>
  <c r="F200" i="31"/>
  <c r="F209" i="14"/>
  <c r="E15" i="37" s="1"/>
  <c r="F130" i="14"/>
  <c r="F134" i="14" s="1"/>
  <c r="D177" i="14"/>
  <c r="E67" i="38" l="1"/>
  <c r="F203" i="31"/>
  <c r="E68" i="38"/>
  <c r="F204" i="31"/>
  <c r="E66" i="38"/>
  <c r="F202" i="31"/>
  <c r="G177" i="14"/>
  <c r="E107" i="39"/>
  <c r="G155" i="14"/>
  <c r="G154" i="14"/>
  <c r="G153" i="14"/>
  <c r="G47" i="14"/>
  <c r="G46" i="14"/>
  <c r="G45" i="14"/>
  <c r="G178" i="14" l="1"/>
  <c r="H15" i="37" s="1"/>
  <c r="F205" i="31"/>
  <c r="E8" i="37" s="1"/>
  <c r="K8" i="37" s="1"/>
  <c r="G157" i="14"/>
  <c r="J15" i="37" s="1"/>
  <c r="G49" i="14"/>
  <c r="B15" i="37" s="1"/>
  <c r="G15" i="37" l="1"/>
  <c r="A15" i="37" l="1"/>
  <c r="N15" i="37" s="1"/>
  <c r="O11" i="37" s="1"/>
  <c r="A1" i="15"/>
  <c r="A1" i="31" s="1"/>
  <c r="J26" i="14" l="1"/>
  <c r="J46" i="14" s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<sst xmlns="http://schemas.openxmlformats.org/spreadsheetml/2006/main" count="2123" uniqueCount="558">
  <si>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</si>
  <si>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</si>
  <si>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</si>
  <si>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</si>
  <si>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</si>
  <si>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</si>
  <si>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</si>
  <si>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</si>
  <si>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</si>
  <si>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</si>
  <si>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</si>
  <si>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</si>
  <si>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</si>
  <si>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</si>
  <si>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</si>
  <si>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</si>
  <si>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</si>
  <si>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</si>
  <si>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</si>
  <si>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</si>
  <si>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</si>
  <si>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</si>
  <si>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</si>
  <si>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</si>
  <si>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</si>
  <si>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</si>
  <si>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</si>
  <si>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</si>
  <si>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</si>
  <si>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</si>
  <si>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</si>
  <si>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</si>
  <si>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</si>
  <si>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</si>
  <si>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</si>
  <si>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</si>
  <si>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</si>
  <si>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</si>
  <si>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</si>
  <si>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</si>
  <si>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</si>
  <si>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</si>
  <si>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</si>
  <si>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</si>
  <si>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</si>
  <si>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</si>
  <si>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</si>
  <si>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</si>
  <si>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</si>
  <si>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 xml:space="preserve">Затраты на оплату труда (с начислениями) работников, непосредственно НЕ связанных с выполнением работы 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</si>
  <si>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</si>
  <si>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</si>
  <si>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</si>
  <si>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</si>
  <si>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</si>
  <si>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</si>
  <si>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</si>
  <si>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</si>
  <si>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</si>
  <si>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</si>
  <si>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</si>
  <si>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</si>
  <si>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</si>
  <si>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</si>
  <si>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</si>
  <si>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</si>
  <si>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</si>
  <si>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</si>
  <si>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</si>
  <si>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</si>
  <si>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</si>
  <si>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</si>
  <si>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</si>
  <si>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</si>
  <si>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</si>
  <si>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</si>
  <si>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</si>
  <si>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</si>
  <si>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</si>
  <si>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</si>
  <si>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</si>
  <si>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</si>
  <si>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</si>
  <si>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</si>
  <si>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</si>
  <si>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</si>
  <si>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</si>
  <si>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</si>
  <si>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</si>
  <si>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</si>
  <si>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</si>
  <si>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</si>
  <si>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</si>
  <si>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</si>
  <si>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</si>
  <si>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</si>
  <si>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Нормативные затраты на выполнение работы 2:  </t>
  </si>
  <si>
    <t xml:space="preserve">Нормативные затраты на выполнение работы 1 :  </t>
  </si>
  <si>
    <t xml:space="preserve">запланированное число участников 840 человек   </t>
  </si>
  <si>
    <t xml:space="preserve">Нормативные затраты на выполнение работы 3:  </t>
  </si>
  <si>
    <t>кол-во номеров</t>
  </si>
  <si>
    <t>Рабочий по обслуживанию здания</t>
  </si>
  <si>
    <t>ИТОГО</t>
  </si>
  <si>
    <t>Обучение персонала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</si>
  <si>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</si>
  <si>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</si>
  <si>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</si>
  <si>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</si>
  <si>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</si>
  <si>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</si>
  <si>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</si>
  <si>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</si>
  <si>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</si>
  <si>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</si>
  <si>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</si>
  <si>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</si>
  <si>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</si>
  <si>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</si>
  <si>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</si>
  <si>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</si>
  <si>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</si>
  <si>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</si>
  <si>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пач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</si>
  <si>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</si>
  <si>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</si>
  <si>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</si>
  <si>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</si>
  <si>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</si>
  <si>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</si>
  <si>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</si>
  <si>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</si>
  <si>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</si>
  <si>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</si>
  <si>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</si>
  <si>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</si>
  <si>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</si>
  <si>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</si>
  <si>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</si>
  <si>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</si>
  <si>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</si>
  <si>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</si>
  <si>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</si>
  <si>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руб</t>
  </si>
  <si>
    <t>сут</t>
  </si>
  <si>
    <t>рул</t>
  </si>
  <si>
    <t>руб/сут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</si>
  <si>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</si>
  <si>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</si>
  <si>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Работа2: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</si>
  <si>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</si>
  <si>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</si>
  <si>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</si>
  <si>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</si>
  <si>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</si>
  <si>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</si>
  <si>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</si>
  <si>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</si>
  <si>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</si>
  <si>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</si>
  <si>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</si>
  <si>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</si>
  <si>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</si>
  <si>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</si>
  <si>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</si>
  <si>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</si>
  <si>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</si>
  <si>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</si>
  <si>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</si>
  <si>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</si>
  <si>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</si>
  <si>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</si>
  <si>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</si>
  <si>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</si>
  <si>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</si>
  <si>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</si>
  <si>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</si>
  <si>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</si>
  <si>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</si>
  <si>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</si>
  <si>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</si>
  <si>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</si>
  <si>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</si>
  <si>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</si>
  <si>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</si>
  <si>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</si>
  <si>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</si>
  <si>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</si>
  <si>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</si>
  <si>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</si>
  <si>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</si>
  <si>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</si>
  <si>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</si>
  <si>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</si>
  <si>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</si>
  <si>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</si>
  <si>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</si>
  <si>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</si>
  <si>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</si>
  <si>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</si>
  <si>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</si>
  <si>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</si>
  <si>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</si>
  <si>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</si>
  <si>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</si>
  <si>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</si>
  <si>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</si>
  <si>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</si>
  <si>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</si>
  <si>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</si>
  <si>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Приложение № 1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</si>
  <si>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</si>
  <si>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</si>
  <si>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</si>
  <si>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</si>
  <si>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</si>
  <si>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</si>
  <si>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</si>
  <si>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</si>
  <si>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</si>
  <si>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</si>
  <si>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</si>
  <si>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</si>
  <si>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</si>
  <si>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</si>
  <si>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</si>
  <si>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</si>
  <si>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</si>
  <si>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</si>
  <si>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</si>
  <si>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</si>
  <si>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</si>
  <si>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</si>
  <si>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</si>
  <si>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</si>
  <si>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</si>
  <si>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</si>
  <si>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</si>
  <si>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</si>
  <si>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</si>
  <si>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</si>
  <si>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</si>
  <si>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</si>
  <si>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</si>
  <si>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</si>
  <si>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</si>
  <si>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</si>
  <si>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</si>
  <si>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</si>
  <si>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</si>
  <si>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</si>
  <si>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</si>
  <si>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</si>
  <si>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</si>
  <si>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</si>
  <si>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</si>
  <si>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</si>
  <si>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</si>
  <si>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</si>
  <si>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</si>
  <si>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</si>
  <si>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</si>
  <si>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</si>
  <si>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</si>
  <si>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</si>
  <si>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>Форма времен Великой Отечественной войны (Комплект)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</si>
  <si>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</si>
  <si>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</si>
  <si>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</si>
  <si>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</si>
  <si>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</si>
  <si>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</si>
  <si>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</si>
  <si>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</si>
  <si>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</si>
  <si>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</si>
  <si>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</si>
  <si>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</si>
  <si>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</si>
  <si>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</si>
  <si>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</si>
  <si>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</si>
  <si>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</si>
  <si>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</si>
  <si>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</si>
  <si>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</si>
  <si>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</si>
  <si>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</si>
  <si>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</si>
  <si>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</si>
  <si>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</si>
  <si>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</si>
  <si>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</si>
  <si>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</si>
  <si>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 xml:space="preserve">Сувенирная продукция 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</si>
  <si>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</si>
  <si>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</si>
  <si>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</si>
  <si>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</si>
  <si>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</si>
  <si>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</si>
  <si>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Договор ТО автомобиля</t>
  </si>
  <si>
    <t>Услуги СЕМИС подписка</t>
  </si>
  <si>
    <t xml:space="preserve">Заключение договора на прохождение предварительного мед осмотра сотрудниками </t>
  </si>
  <si>
    <t>Прохождение периодического мед осмотра водителем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</si>
  <si>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</si>
  <si>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</si>
  <si>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</si>
  <si>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</si>
  <si>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1.     Расчеты (обоснования) выплат персоналу, непосредственно НЕ связанному с выполнением работы (выплата пособия до устройства на работу)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</si>
  <si>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</si>
  <si>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</si>
  <si>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</si>
  <si>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</si>
  <si>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</si>
  <si>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</si>
  <si>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</si>
  <si>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</si>
  <si>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</si>
  <si>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</si>
  <si>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</si>
  <si>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</si>
  <si>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</si>
  <si>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</si>
  <si>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</si>
  <si>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</si>
  <si>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</si>
  <si>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</si>
  <si>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</si>
  <si>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</si>
  <si>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</si>
  <si>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</si>
  <si>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</si>
  <si>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</si>
  <si>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</si>
  <si>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</si>
  <si>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</si>
  <si>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</si>
  <si>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</si>
  <si>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</si>
  <si>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</si>
  <si>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</si>
  <si>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</si>
  <si>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</si>
  <si>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</si>
  <si>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</si>
  <si>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</si>
  <si>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</si>
  <si>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</si>
  <si>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</si>
  <si>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</si>
  <si>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</si>
  <si>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</si>
  <si>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</si>
  <si>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</si>
  <si>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</si>
  <si>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</si>
  <si>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</si>
  <si>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</si>
  <si>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</si>
  <si>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</si>
  <si>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</si>
  <si>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</si>
  <si>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</si>
  <si>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</si>
  <si>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</si>
  <si>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</si>
  <si>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</si>
  <si>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</si>
  <si>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</si>
  <si>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</si>
  <si>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</si>
  <si>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</si>
  <si>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</si>
  <si>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</si>
  <si>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</si>
  <si>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</si>
  <si>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</si>
  <si>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</si>
  <si>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</si>
  <si>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</si>
  <si>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</si>
  <si>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</si>
  <si>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</si>
  <si>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</si>
  <si>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</si>
  <si>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</si>
  <si>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</si>
  <si>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</si>
  <si>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</si>
  <si>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</si>
  <si>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</si>
  <si>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</si>
  <si>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</si>
  <si>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</si>
  <si>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</si>
  <si>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</si>
  <si>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</si>
  <si>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</si>
  <si>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</si>
  <si>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</si>
  <si>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</si>
  <si>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</si>
  <si>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</si>
  <si>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</si>
  <si>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</si>
  <si>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</si>
  <si>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</si>
  <si>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</si>
  <si>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</si>
  <si>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</si>
  <si>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</si>
  <si>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</si>
  <si>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</si>
  <si>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</si>
  <si>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</si>
  <si>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</si>
  <si>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</si>
  <si>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</si>
  <si>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</si>
  <si>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</si>
  <si>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</si>
  <si>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</si>
  <si>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</si>
  <si>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</si>
  <si>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 xml:space="preserve">Работа 1: </t>
  </si>
  <si>
    <t>Работа 3:</t>
  </si>
  <si>
    <t>ТКО</t>
  </si>
  <si>
    <t>Восстановительные работы по а/м Хёндай (остаток не под контрактом)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</si>
  <si>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</si>
  <si>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</si>
  <si>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</si>
  <si>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</si>
  <si>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</si>
  <si>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</si>
  <si>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</si>
  <si>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</si>
  <si>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</si>
  <si>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</si>
  <si>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</si>
  <si>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</si>
  <si>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</si>
  <si>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</si>
  <si>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</si>
  <si>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микшера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</si>
  <si>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</si>
  <si>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</si>
  <si>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</si>
  <si>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</si>
  <si>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</si>
  <si>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</si>
  <si>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</si>
  <si>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</si>
  <si>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</si>
  <si>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</si>
  <si>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</si>
  <si>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</si>
  <si>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</si>
  <si>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</si>
  <si>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</si>
  <si>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</si>
  <si>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</si>
  <si>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</si>
  <si>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</si>
  <si>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</si>
  <si>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</si>
  <si>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</si>
  <si>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</si>
  <si>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</si>
  <si>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</si>
  <si>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</si>
  <si>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</si>
  <si>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</si>
  <si>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</si>
  <si>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</si>
  <si>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</si>
  <si>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</si>
  <si>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</si>
  <si>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</si>
  <si>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</si>
  <si>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</si>
  <si>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</si>
  <si>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</si>
  <si>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</si>
  <si>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</si>
  <si>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</si>
  <si>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</si>
  <si>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</si>
  <si>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</si>
  <si>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</si>
  <si>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</si>
  <si>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</si>
  <si>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</si>
  <si>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</si>
  <si>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</si>
  <si>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</si>
  <si>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</si>
  <si>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</si>
  <si>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</si>
  <si>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</si>
  <si>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</si>
  <si>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</si>
  <si>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</si>
  <si>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</si>
  <si>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</si>
  <si>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</si>
  <si>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</si>
  <si>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</si>
  <si>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</si>
  <si>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</si>
  <si>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</si>
  <si>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</si>
  <si>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</si>
  <si>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</si>
  <si>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</si>
  <si>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</si>
  <si>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</si>
  <si>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</si>
  <si>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</si>
  <si>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</si>
  <si>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</si>
  <si>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</si>
  <si>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</si>
  <si>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</si>
  <si>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</si>
  <si>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</si>
  <si>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</si>
  <si>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</si>
  <si>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</si>
  <si>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</si>
  <si>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</si>
  <si>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</si>
  <si>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чел</t>
  </si>
  <si>
    <t xml:space="preserve"> к Приказу отдела физической культуры, спорта и молодежной политики Северо-Енисейского района от  06.05.2019 № 27-ОС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</si>
  <si>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</si>
  <si>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</si>
  <si>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</si>
  <si>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</si>
  <si>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</si>
  <si>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</si>
  <si>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</si>
  <si>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</si>
  <si>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</si>
  <si>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</si>
  <si>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</si>
  <si>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</si>
  <si>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</si>
  <si>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</si>
  <si>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</si>
  <si>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</si>
  <si>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</si>
  <si>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 xml:space="preserve">Приложение №1 к приложению 1  к Приказу отдела физической культуры, спорта и молодежной политики Северо-Енисейского района от  06.05.2019 № 27-ОС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</si>
  <si>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</si>
  <si>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</si>
  <si>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</si>
  <si>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</si>
  <si>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</si>
  <si>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</si>
  <si>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на 06.05.2019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</si>
</sst>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₽_-;\-* #,##0.00_₽_-;_-* &quot;-&quot;??_₽_-;_-@_-"/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#,##0.00&quot;₽&quot;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2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6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6" fontId="5" fillId="4" borderId="7" xfId="0" applyNumberFormat="1" applyFont="1" applyFill="1" applyBorder="1" applyAlignment="1">
      <alignment horizontal="center" vertical="top" wrapText="1" readingOrder="1"/>
    </xf>
    <xf numFmtId="166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27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7" fillId="4" borderId="3" xfId="0" applyNumberFormat="1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4" fillId="3" borderId="14" xfId="0" applyNumberFormat="1" applyFont="1" applyFill="1" applyBorder="1" applyAlignment="1">
      <alignment horizontal="center" vertical="center" wrapText="1"/>
    </xf>
    <xf numFmtId="164" fontId="20" fillId="4" borderId="7" xfId="1" applyFont="1" applyFill="1" applyBorder="1" applyAlignment="1">
      <alignment vertical="top" wrapText="1"/>
    </xf>
    <xf numFmtId="4" fontId="21" fillId="4" borderId="7" xfId="0" applyNumberFormat="1" applyFont="1" applyFill="1" applyBorder="1" applyAlignment="1">
      <alignment horizontal="center" vertical="top" wrapText="1" readingOrder="1"/>
    </xf>
    <xf numFmtId="4" fontId="21" fillId="3" borderId="7" xfId="0" applyNumberFormat="1" applyFont="1" applyFill="1" applyBorder="1" applyAlignment="1">
      <alignment horizontal="center" vertical="center" wrapText="1" readingOrder="1"/>
    </xf>
    <xf numFmtId="4" fontId="21" fillId="3" borderId="14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/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0" fontId="4" fillId="4" borderId="15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17" xfId="3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43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0" fontId="27" fillId="4" borderId="16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22" xfId="3" applyFont="1" applyFill="1" applyBorder="1" applyAlignment="1">
      <alignment vertical="center"/>
    </xf>
    <xf numFmtId="4" fontId="27" fillId="4" borderId="7" xfId="0" applyNumberFormat="1" applyFont="1" applyFill="1" applyBorder="1" applyAlignment="1">
      <alignment vertical="top" wrapText="1"/>
    </xf>
    <xf numFmtId="4" fontId="20" fillId="4" borderId="7" xfId="0" applyNumberFormat="1" applyFont="1" applyFill="1" applyBorder="1" applyAlignment="1">
      <alignment vertical="top" wrapText="1"/>
    </xf>
    <xf numFmtId="167" fontId="4" fillId="4" borderId="7" xfId="0" applyNumberFormat="1" applyFont="1" applyFill="1" applyBorder="1" applyAlignment="1">
      <alignment vertical="top" wrapText="1"/>
    </xf>
    <xf numFmtId="0" fontId="38" fillId="4" borderId="15" xfId="0" applyNumberFormat="1" applyFont="1" applyFill="1" applyBorder="1" applyAlignment="1">
      <alignment vertical="top" wrapText="1"/>
    </xf>
    <xf numFmtId="0" fontId="38" fillId="4" borderId="16" xfId="0" applyNumberFormat="1" applyFont="1" applyFill="1" applyBorder="1" applyAlignment="1">
      <alignment vertical="top" wrapText="1"/>
    </xf>
    <xf numFmtId="0" fontId="38" fillId="4" borderId="13" xfId="0" applyNumberFormat="1" applyFont="1" applyFill="1" applyBorder="1" applyAlignment="1">
      <alignment vertical="top" wrapText="1"/>
    </xf>
    <xf numFmtId="0" fontId="39" fillId="0" borderId="7" xfId="0" applyFont="1" applyBorder="1" applyAlignment="1">
      <alignment horizontal="right" vertical="center" wrapText="1"/>
    </xf>
    <xf numFmtId="2" fontId="39" fillId="0" borderId="7" xfId="0" applyNumberFormat="1" applyFont="1" applyBorder="1" applyAlignment="1">
      <alignment horizontal="right"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4" fillId="4" borderId="16" xfId="0" applyFont="1" applyFill="1" applyBorder="1" applyAlignment="1">
      <alignment horizontal="center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22" fillId="0" borderId="15" xfId="0" applyFont="1" applyBorder="1" applyAlignment="1">
      <alignment vertical="center" wrapText="1"/>
    </xf>
    <xf numFmtId="0" fontId="4" fillId="4" borderId="22" xfId="0" applyFont="1" applyFill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4" fontId="29" fillId="0" borderId="7" xfId="0" applyNumberFormat="1" applyFont="1" applyBorder="1" applyAlignment="1">
      <alignment horizontal="right" vertical="center" wrapText="1"/>
    </xf>
    <xf numFmtId="0" fontId="4" fillId="2" borderId="15" xfId="0" applyFont="1" applyFill="1" applyBorder="1" applyAlignment="1">
      <alignment vertical="top" wrapText="1"/>
    </xf>
    <xf numFmtId="0" fontId="4" fillId="7" borderId="15" xfId="0" applyFont="1" applyFill="1" applyBorder="1" applyAlignment="1">
      <alignment horizontal="left" vertical="top" wrapText="1"/>
    </xf>
    <xf numFmtId="0" fontId="4" fillId="7" borderId="16" xfId="0" applyFont="1" applyFill="1" applyBorder="1" applyAlignment="1">
      <alignment horizontal="left" vertical="top" wrapText="1"/>
    </xf>
    <xf numFmtId="0" fontId="4" fillId="7" borderId="13" xfId="0" applyFont="1" applyFill="1" applyBorder="1" applyAlignment="1">
      <alignment horizontal="left" vertical="top" wrapText="1"/>
    </xf>
    <xf numFmtId="0" fontId="4" fillId="7" borderId="7" xfId="0" applyFont="1" applyFill="1" applyBorder="1" applyAlignment="1">
      <alignment vertical="top" wrapText="1"/>
    </xf>
    <xf numFmtId="0" fontId="38" fillId="7" borderId="15" xfId="0" applyNumberFormat="1" applyFont="1" applyFill="1" applyBorder="1" applyAlignment="1">
      <alignment vertical="top" wrapText="1"/>
    </xf>
    <xf numFmtId="0" fontId="38" fillId="7" borderId="16" xfId="0" applyNumberFormat="1" applyFont="1" applyFill="1" applyBorder="1" applyAlignment="1">
      <alignment vertical="top" wrapText="1"/>
    </xf>
    <xf numFmtId="0" fontId="38" fillId="7" borderId="13" xfId="0" applyNumberFormat="1" applyFont="1" applyFill="1" applyBorder="1" applyAlignment="1">
      <alignment vertical="top" wrapText="1"/>
    </xf>
    <xf numFmtId="4" fontId="4" fillId="7" borderId="7" xfId="0" applyNumberFormat="1" applyFont="1" applyFill="1" applyBorder="1" applyAlignment="1">
      <alignment vertical="top" wrapText="1"/>
    </xf>
    <xf numFmtId="4" fontId="4" fillId="7" borderId="15" xfId="0" applyNumberFormat="1" applyFont="1" applyFill="1" applyBorder="1" applyAlignment="1">
      <alignment vertical="top" wrapText="1"/>
    </xf>
    <xf numFmtId="4" fontId="4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4" fontId="4" fillId="9" borderId="7" xfId="0" applyNumberFormat="1" applyFont="1" applyFill="1" applyBorder="1" applyAlignment="1">
      <alignment vertical="top" wrapText="1"/>
    </xf>
    <xf numFmtId="0" fontId="39" fillId="7" borderId="7" xfId="0" applyFont="1" applyFill="1" applyBorder="1" applyAlignment="1">
      <alignment horizontal="right" vertical="center" wrapText="1"/>
    </xf>
    <xf numFmtId="2" fontId="39" fillId="7" borderId="7" xfId="0" applyNumberFormat="1" applyFont="1" applyFill="1" applyBorder="1" applyAlignment="1">
      <alignment horizontal="right" vertical="center" wrapText="1"/>
    </xf>
    <xf numFmtId="4" fontId="38" fillId="7" borderId="16" xfId="1" applyNumberFormat="1" applyFont="1" applyFill="1" applyBorder="1" applyAlignment="1">
      <alignment vertical="top" wrapText="1"/>
    </xf>
    <xf numFmtId="4" fontId="38" fillId="7" borderId="13" xfId="1" applyNumberFormat="1" applyFont="1" applyFill="1" applyBorder="1" applyAlignment="1">
      <alignment vertical="top" wrapText="1"/>
    </xf>
    <xf numFmtId="0" fontId="40" fillId="0" borderId="7" xfId="0" applyFont="1" applyBorder="1" applyAlignment="1">
      <alignment horizontal="right" vertical="center"/>
    </xf>
    <xf numFmtId="0" fontId="40" fillId="0" borderId="8" xfId="0" applyFont="1" applyBorder="1" applyAlignment="1">
      <alignment horizontal="right" vertical="center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4" fontId="29" fillId="4" borderId="0" xfId="0" applyNumberFormat="1" applyFont="1" applyFill="1" applyBorder="1" applyAlignment="1">
      <alignment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0" fontId="7" fillId="2" borderId="7" xfId="0" applyFont="1" applyFill="1" applyBorder="1" applyAlignment="1">
      <alignment horizontal="left" vertical="center" wrapText="1" readingOrder="1"/>
    </xf>
    <xf numFmtId="0" fontId="7" fillId="2" borderId="7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vertical="center" wrapText="1" readingOrder="1"/>
    </xf>
    <xf numFmtId="0" fontId="4" fillId="2" borderId="7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vertical="top" wrapText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0" borderId="23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top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0" fillId="0" borderId="8" xfId="0" applyFont="1" applyBorder="1" applyAlignment="1">
      <alignment horizontal="left" vertical="center"/>
    </xf>
    <xf numFmtId="0" fontId="40" fillId="0" borderId="7" xfId="0" applyFont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4" fontId="38" fillId="7" borderId="15" xfId="0" applyNumberFormat="1" applyFont="1" applyFill="1" applyBorder="1" applyAlignment="1">
      <alignment vertical="top" wrapText="1"/>
    </xf>
    <xf numFmtId="4" fontId="38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7" borderId="15" xfId="0" applyFont="1" applyFill="1" applyBorder="1" applyAlignment="1">
      <alignment horizontal="left" vertical="top" wrapText="1"/>
    </xf>
    <xf numFmtId="0" fontId="4" fillId="7" borderId="16" xfId="0" applyFont="1" applyFill="1" applyBorder="1" applyAlignment="1">
      <alignment horizontal="left" vertical="top" wrapText="1"/>
    </xf>
    <xf numFmtId="0" fontId="4" fillId="7" borderId="13" xfId="0" applyFont="1" applyFill="1" applyBorder="1" applyAlignment="1">
      <alignment horizontal="left" vertical="top" wrapText="1"/>
    </xf>
    <xf numFmtId="0" fontId="4" fillId="8" borderId="7" xfId="0" applyFont="1" applyFill="1" applyBorder="1" applyAlignment="1">
      <alignment vertical="top" wrapText="1"/>
    </xf>
    <xf numFmtId="4" fontId="4" fillId="9" borderId="13" xfId="1" applyNumberFormat="1" applyFont="1" applyFill="1" applyBorder="1" applyAlignment="1">
      <alignment vertical="top" wrapText="1"/>
    </xf>
    <xf numFmtId="4" fontId="4" fillId="9" borderId="7" xfId="1" applyNumberFormat="1" applyFont="1" applyFill="1" applyBorder="1" applyAlignment="1">
      <alignment vertical="top" wrapText="1"/>
    </xf>
    <xf numFmtId="0" fontId="4" fillId="7" borderId="7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39" fillId="0" borderId="7" xfId="0" applyFont="1" applyBorder="1" applyAlignment="1">
      <alignment horizontal="left" vertical="center" wrapText="1"/>
    </xf>
    <xf numFmtId="0" fontId="39" fillId="7" borderId="15" xfId="0" applyFont="1" applyFill="1" applyBorder="1" applyAlignment="1">
      <alignment horizontal="left" vertical="center" wrapText="1"/>
    </xf>
    <xf numFmtId="0" fontId="39" fillId="7" borderId="16" xfId="0" applyFont="1" applyFill="1" applyBorder="1" applyAlignment="1">
      <alignment horizontal="left" vertical="center" wrapText="1"/>
    </xf>
    <xf numFmtId="0" fontId="39" fillId="7" borderId="13" xfId="0" applyFont="1" applyFill="1" applyBorder="1" applyAlignment="1">
      <alignment horizontal="left" vertical="center" wrapText="1"/>
    </xf>
    <xf numFmtId="0" fontId="39" fillId="7" borderId="7" xfId="0" applyFont="1" applyFill="1" applyBorder="1" applyAlignment="1">
      <alignment horizontal="left" vertical="center" wrapText="1"/>
    </xf>
    <xf numFmtId="4" fontId="38" fillId="7" borderId="16" xfId="1" applyNumberFormat="1" applyFont="1" applyFill="1" applyBorder="1" applyAlignment="1">
      <alignment horizontal="right" vertical="top" wrapText="1"/>
    </xf>
    <xf numFmtId="4" fontId="38" fillId="7" borderId="13" xfId="1" applyNumberFormat="1" applyFont="1" applyFill="1" applyBorder="1" applyAlignment="1">
      <alignment horizontal="right" vertical="top" wrapText="1"/>
    </xf>
    <xf numFmtId="0" fontId="39" fillId="0" borderId="15" xfId="0" applyFont="1" applyBorder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13" xfId="0" applyFont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4" fillId="4" borderId="2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27" fillId="10" borderId="15" xfId="3" applyFont="1" applyFill="1" applyBorder="1" applyAlignment="1">
      <alignment vertical="center"/>
    </xf>
    <xf numFmtId="0" fontId="27" fillId="10" borderId="13" xfId="3" applyFont="1" applyFill="1" applyBorder="1" applyAlignment="1">
      <alignment vertical="center"/>
    </xf>
    <xf numFmtId="0" fontId="27" fillId="10" borderId="15" xfId="3" applyFont="1" applyFill="1" applyBorder="1" applyAlignment="1">
      <alignment vertical="center" wrapText="1"/>
    </xf>
    <xf numFmtId="0" fontId="27" fillId="10" borderId="13" xfId="3" applyFont="1" applyFill="1" applyBorder="1" applyAlignment="1">
      <alignment vertical="center" wrapText="1"/>
    </xf>
    <xf numFmtId="0" fontId="27" fillId="10" borderId="15" xfId="3" applyFont="1" applyFill="1" applyBorder="1" applyAlignment="1">
      <alignment horizontal="left" vertical="center"/>
    </xf>
    <xf numFmtId="0" fontId="27" fillId="10" borderId="15" xfId="0" applyFont="1" applyFill="1" applyBorder="1" applyAlignment="1">
      <alignment vertical="top" wrapText="1"/>
    </xf>
    <xf numFmtId="0" fontId="27" fillId="10" borderId="13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27" fillId="10" borderId="7" xfId="3" applyFont="1" applyFill="1" applyBorder="1" applyAlignment="1">
      <alignment vertical="center" wrapText="1"/>
    </xf>
    <xf numFmtId="0" fontId="27" fillId="10" borderId="7" xfId="0" applyFont="1" applyFill="1" applyBorder="1" applyAlignment="1">
      <alignment vertical="top" wrapText="1"/>
    </xf>
    <xf numFmtId="0" fontId="4" fillId="4" borderId="7" xfId="3" applyFont="1" applyFill="1" applyBorder="1" applyAlignment="1">
      <alignment horizontal="left" vertical="center"/>
    </xf>
    <xf numFmtId="0" fontId="27" fillId="10" borderId="7" xfId="3" applyFont="1" applyFill="1" applyBorder="1" applyAlignment="1">
      <alignment vertical="center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right" vertical="center" wrapText="1" readingOrder="1"/>
    </xf>
    <xf numFmtId="0" fontId="21" fillId="4" borderId="14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horizontal="left" vertical="center"/>
    </xf>
    <xf numFmtId="0" fontId="27" fillId="11" borderId="15" xfId="0" applyFont="1" applyFill="1" applyBorder="1" applyAlignment="1">
      <alignment vertical="center"/>
    </xf>
    <xf numFmtId="0" fontId="27" fillId="11" borderId="16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27" fillId="11" borderId="15" xfId="0" applyFont="1" applyFill="1" applyBorder="1" applyAlignment="1">
      <alignment vertical="center" wrapText="1"/>
    </xf>
    <xf numFmtId="0" fontId="27" fillId="11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11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11" borderId="7" xfId="0" applyFont="1" applyFill="1" applyBorder="1" applyAlignment="1">
      <alignment vertical="center" wrapText="1"/>
    </xf>
    <xf numFmtId="0" fontId="27" fillId="11" borderId="7" xfId="0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4" fontId="27" fillId="11" borderId="7" xfId="0" applyNumberFormat="1" applyFont="1" applyFill="1" applyBorder="1" applyAlignment="1">
      <alignment horizontal="center" vertical="center"/>
    </xf>
    <xf numFmtId="4" fontId="4" fillId="11" borderId="7" xfId="0" applyNumberFormat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0" fillId="4" borderId="7" xfId="0" applyFill="1" applyBorder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/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36" t="s">
        <v>209</v>
      </c>
      <c r="J1" s="436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37" t="s">
        <v>532</v>
      </c>
      <c r="J2" s="437"/>
      <c r="K2" s="437"/>
      <c r="L2" s="188"/>
      <c r="M2" s="188"/>
    </row>
    <row r="3" spans="1:16" ht="30" x14ac:dyDescent="0.25">
      <c r="A3" s="212" t="s">
        <v>97</v>
      </c>
      <c r="B3" s="438" t="str">
        <f>'работа 3 добр'!B3:H3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38"/>
      <c r="D3" s="438"/>
      <c r="E3" s="438"/>
      <c r="F3" s="438"/>
      <c r="G3" s="438"/>
      <c r="H3" s="438"/>
      <c r="I3" s="438"/>
      <c r="J3" s="438"/>
      <c r="K3" s="438"/>
    </row>
    <row r="4" spans="1:16" x14ac:dyDescent="0.25">
      <c r="A4" s="45"/>
      <c r="B4" s="439"/>
      <c r="C4" s="439"/>
      <c r="D4" s="439"/>
      <c r="E4" s="439"/>
      <c r="F4" s="439"/>
      <c r="G4" s="439"/>
      <c r="H4" s="439"/>
      <c r="I4" s="439"/>
      <c r="J4" s="439"/>
      <c r="K4" s="439"/>
    </row>
    <row r="5" spans="1:16" ht="15" customHeight="1" x14ac:dyDescent="0.25">
      <c r="A5" s="440" t="s">
        <v>95</v>
      </c>
      <c r="B5" s="441"/>
      <c r="C5" s="441"/>
      <c r="D5" s="440" t="s">
        <v>32</v>
      </c>
      <c r="E5" s="432"/>
      <c r="F5" s="432"/>
      <c r="G5" s="432"/>
      <c r="H5" s="432"/>
      <c r="I5" s="432"/>
      <c r="J5" s="433"/>
      <c r="K5" s="434" t="s">
        <v>33</v>
      </c>
    </row>
    <row r="6" spans="1:16" ht="120" customHeight="1" x14ac:dyDescent="0.25">
      <c r="A6" s="213" t="s">
        <v>109</v>
      </c>
      <c r="B6" s="214" t="s">
        <v>110</v>
      </c>
      <c r="C6" s="214" t="s">
        <v>111</v>
      </c>
      <c r="D6" s="215" t="s">
        <v>112</v>
      </c>
      <c r="E6" s="216" t="s">
        <v>113</v>
      </c>
      <c r="F6" s="217" t="s">
        <v>118</v>
      </c>
      <c r="G6" s="218" t="s">
        <v>114</v>
      </c>
      <c r="H6" s="218" t="s">
        <v>117</v>
      </c>
      <c r="I6" s="218" t="s">
        <v>115</v>
      </c>
      <c r="J6" s="218" t="s">
        <v>116</v>
      </c>
      <c r="K6" s="435"/>
    </row>
    <row r="7" spans="1:16" x14ac:dyDescent="0.25">
      <c r="A7" s="219">
        <v>1</v>
      </c>
      <c r="B7" s="219">
        <v>2</v>
      </c>
      <c r="C7" s="219">
        <v>3</v>
      </c>
      <c r="D7" s="220">
        <v>4</v>
      </c>
      <c r="E7" s="221">
        <v>5</v>
      </c>
      <c r="F7" s="221">
        <v>6</v>
      </c>
      <c r="G7" s="221">
        <v>7</v>
      </c>
      <c r="H7" s="221">
        <v>8</v>
      </c>
      <c r="I7" s="221">
        <v>9</v>
      </c>
      <c r="J7" s="221">
        <v>10</v>
      </c>
      <c r="K7" s="222">
        <v>11</v>
      </c>
      <c r="N7" s="39">
        <f>A8+I8</f>
        <v>2169090.2891715998</v>
      </c>
    </row>
    <row r="8" spans="1:16" x14ac:dyDescent="0.25">
      <c r="A8" s="223">
        <f>'работа 3 добр'!I27+'работа 3 добр'!H36+'работа 3 добр'!F44</f>
        <v>1441425.5704167997</v>
      </c>
      <c r="B8" s="223">
        <f>'работа 3 добр'!G57</f>
        <v>28265.618300000002</v>
      </c>
      <c r="C8" s="223">
        <f>'работа 3 добр'!G86</f>
        <v>147000</v>
      </c>
      <c r="D8" s="224">
        <f>'работа 3 добр'!F142</f>
        <v>112627.01393080001</v>
      </c>
      <c r="E8" s="5">
        <f>'работа 3 добр'!F205</f>
        <v>105820.0077</v>
      </c>
      <c r="F8" s="5">
        <v>0</v>
      </c>
      <c r="G8" s="5">
        <f>'работа 3 добр'!G165</f>
        <v>43553.811999999998</v>
      </c>
      <c r="H8" s="5">
        <f>'работа 3 добр'!G173</f>
        <v>6365</v>
      </c>
      <c r="I8" s="5">
        <f>'работа 3 добр'!G97+'работа 3 добр'!H110+'работа 3 добр'!F119</f>
        <v>727664.71875480015</v>
      </c>
      <c r="J8" s="5">
        <f>'работа 3 добр'!F439+'работа 3 добр'!G152+'работа 3 добр'!G128</f>
        <v>390812.45854999986</v>
      </c>
      <c r="K8" s="225">
        <f>SUM(A8:J8)</f>
        <v>3003534.1996523999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6" t="s">
        <v>96</v>
      </c>
      <c r="B10" s="438" t="str">
        <f>'работа 2 пат'!B3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38"/>
      <c r="D10" s="438"/>
      <c r="E10" s="438"/>
      <c r="F10" s="438"/>
      <c r="G10" s="438"/>
      <c r="H10" s="438"/>
      <c r="I10" s="438"/>
      <c r="J10" s="438"/>
      <c r="K10" s="438"/>
      <c r="N10" s="211" t="s">
        <v>206</v>
      </c>
      <c r="O10" s="227">
        <f>K8+K15+K23</f>
        <v>9432056.0734399986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191</v>
      </c>
      <c r="O11" s="39">
        <f>N7+N15+N23</f>
        <v>6474904.2209599996</v>
      </c>
      <c r="P11" s="39"/>
    </row>
    <row r="12" spans="1:16" ht="45" customHeight="1" x14ac:dyDescent="0.25">
      <c r="A12" s="440" t="s">
        <v>95</v>
      </c>
      <c r="B12" s="441"/>
      <c r="C12" s="441"/>
      <c r="D12" s="440" t="s">
        <v>32</v>
      </c>
      <c r="E12" s="432"/>
      <c r="F12" s="432"/>
      <c r="G12" s="432"/>
      <c r="H12" s="432"/>
      <c r="I12" s="432"/>
      <c r="J12" s="433"/>
      <c r="K12" s="434" t="s">
        <v>33</v>
      </c>
      <c r="P12" s="39"/>
    </row>
    <row r="13" spans="1:16" ht="85.15" customHeight="1" x14ac:dyDescent="0.25">
      <c r="A13" s="213" t="s">
        <v>109</v>
      </c>
      <c r="B13" s="214" t="s">
        <v>110</v>
      </c>
      <c r="C13" s="214" t="s">
        <v>111</v>
      </c>
      <c r="D13" s="215" t="s">
        <v>112</v>
      </c>
      <c r="E13" s="216" t="s">
        <v>113</v>
      </c>
      <c r="F13" s="217" t="s">
        <v>118</v>
      </c>
      <c r="G13" s="218" t="s">
        <v>114</v>
      </c>
      <c r="H13" s="218" t="s">
        <v>117</v>
      </c>
      <c r="I13" s="218" t="s">
        <v>115</v>
      </c>
      <c r="J13" s="218" t="s">
        <v>116</v>
      </c>
      <c r="K13" s="435"/>
      <c r="P13" s="39"/>
    </row>
    <row r="14" spans="1:16" x14ac:dyDescent="0.25">
      <c r="A14" s="228">
        <v>1</v>
      </c>
      <c r="B14" s="228">
        <v>2</v>
      </c>
      <c r="C14" s="228">
        <v>3</v>
      </c>
      <c r="D14" s="229">
        <v>4</v>
      </c>
      <c r="E14" s="221">
        <v>6</v>
      </c>
      <c r="F14" s="221">
        <v>7</v>
      </c>
      <c r="G14" s="221">
        <v>8</v>
      </c>
      <c r="H14" s="221">
        <v>9</v>
      </c>
      <c r="I14" s="221">
        <v>10</v>
      </c>
      <c r="J14" s="221">
        <v>11</v>
      </c>
      <c r="K14" s="222">
        <v>12</v>
      </c>
    </row>
    <row r="15" spans="1:16" x14ac:dyDescent="0.25">
      <c r="A15" s="223">
        <f>'работа 2 пат'!I26+'работа 2 пат'!H34+'работа 2 пат'!F41</f>
        <v>1729710.7365001598</v>
      </c>
      <c r="B15" s="223">
        <f>'работа 2 пат'!G49</f>
        <v>33918.741959999999</v>
      </c>
      <c r="C15" s="223">
        <f>'работа 2 пат'!G85</f>
        <v>144830</v>
      </c>
      <c r="D15" s="224">
        <f>'работа 2 пат'!F134</f>
        <v>135152.34471696001</v>
      </c>
      <c r="E15" s="5">
        <f>'работа 2 пат'!F209</f>
        <v>126984.00924000001</v>
      </c>
      <c r="F15" s="5">
        <v>0</v>
      </c>
      <c r="G15" s="5">
        <f>'работа 2 пат'!G170</f>
        <v>52264.472399999999</v>
      </c>
      <c r="H15" s="5">
        <f>'работа 2 пат'!G178</f>
        <v>7638</v>
      </c>
      <c r="I15" s="5">
        <f>'работа 2 пат'!G99+'работа 2 пат'!H119+'работа 2 пат'!F108</f>
        <v>873200.7605057602</v>
      </c>
      <c r="J15" s="5">
        <f>'работа 2 пат'!G143+'работа 2 пат'!G157+'работа 2 пат'!F444</f>
        <v>468975.27225999977</v>
      </c>
      <c r="K15" s="225">
        <f>SUM(A15:J15)</f>
        <v>3572674.3375828797</v>
      </c>
      <c r="N15" s="39">
        <f>A15+I15</f>
        <v>2602911.4970059199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6" t="s">
        <v>99</v>
      </c>
      <c r="B18" s="438" t="str">
        <f>'работа 1 иниц'!B3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38"/>
      <c r="D18" s="438"/>
      <c r="E18" s="438"/>
      <c r="F18" s="438"/>
      <c r="G18" s="438"/>
      <c r="H18" s="438"/>
      <c r="I18" s="438"/>
      <c r="J18" s="438"/>
      <c r="K18" s="438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29" t="s">
        <v>44</v>
      </c>
      <c r="B20" s="430"/>
      <c r="C20" s="430"/>
      <c r="D20" s="431" t="s">
        <v>32</v>
      </c>
      <c r="E20" s="432"/>
      <c r="F20" s="432"/>
      <c r="G20" s="432"/>
      <c r="H20" s="432"/>
      <c r="I20" s="432"/>
      <c r="J20" s="433"/>
      <c r="K20" s="434" t="s">
        <v>33</v>
      </c>
    </row>
    <row r="21" spans="1:14" ht="84" customHeight="1" x14ac:dyDescent="0.25">
      <c r="A21" s="217" t="s">
        <v>109</v>
      </c>
      <c r="B21" s="217" t="s">
        <v>110</v>
      </c>
      <c r="C21" s="217" t="s">
        <v>111</v>
      </c>
      <c r="D21" s="230" t="s">
        <v>112</v>
      </c>
      <c r="E21" s="231" t="s">
        <v>113</v>
      </c>
      <c r="F21" s="217" t="s">
        <v>118</v>
      </c>
      <c r="G21" s="232" t="s">
        <v>114</v>
      </c>
      <c r="H21" s="232" t="s">
        <v>117</v>
      </c>
      <c r="I21" s="232" t="s">
        <v>115</v>
      </c>
      <c r="J21" s="232" t="s">
        <v>116</v>
      </c>
      <c r="K21" s="435"/>
    </row>
    <row r="22" spans="1:14" x14ac:dyDescent="0.25">
      <c r="A22" s="228">
        <v>1</v>
      </c>
      <c r="B22" s="228">
        <v>2</v>
      </c>
      <c r="C22" s="228">
        <v>3</v>
      </c>
      <c r="D22" s="220">
        <v>5</v>
      </c>
      <c r="E22" s="221">
        <v>6</v>
      </c>
      <c r="F22" s="221">
        <v>7</v>
      </c>
      <c r="G22" s="221">
        <v>8</v>
      </c>
      <c r="H22" s="221">
        <v>9</v>
      </c>
      <c r="I22" s="221">
        <v>10</v>
      </c>
      <c r="J22" s="221">
        <v>11</v>
      </c>
      <c r="K22" s="222">
        <v>12</v>
      </c>
    </row>
    <row r="23" spans="1:14" x14ac:dyDescent="0.25">
      <c r="A23" s="223">
        <f>'работа 1 иниц'!I26+'работа 1 иниц'!H34+'работа 1 иниц'!F41</f>
        <v>1131626.6571630398</v>
      </c>
      <c r="B23" s="223">
        <f>'работа 1 иниц'!G52</f>
        <v>22190.619739999998</v>
      </c>
      <c r="C23" s="223">
        <f>'работа 1 иниц'!G109</f>
        <v>613250</v>
      </c>
      <c r="D23" s="224">
        <f>'работа 1 иниц'!F155</f>
        <v>88420.563832240005</v>
      </c>
      <c r="E23" s="5">
        <f>'работа 1 иниц'!F226</f>
        <v>83076.603060000009</v>
      </c>
      <c r="F23" s="5">
        <v>0</v>
      </c>
      <c r="G23" s="5">
        <f>'работа 1 иниц'!G187</f>
        <v>34192.9156</v>
      </c>
      <c r="H23" s="5">
        <f>'работа 1 иниц'!G195</f>
        <v>4997</v>
      </c>
      <c r="I23" s="5">
        <f>'работа 1 иниц'!G119+'работа 1 иниц'!H130+'работа 1 иниц'!F141</f>
        <v>571275.77761944011</v>
      </c>
      <c r="J23" s="5">
        <f>'работа 1 иниц'!F447+'работа 1 иниц'!G174+'работа 1 иниц'!G163</f>
        <v>306817.39918999997</v>
      </c>
      <c r="K23" s="225">
        <f>SUM(A23:J23)</f>
        <v>2855847.5362047195</v>
      </c>
      <c r="N23" s="39">
        <f>A23+I23</f>
        <v>1702902.4347824799</v>
      </c>
    </row>
    <row r="24" spans="1:14" x14ac:dyDescent="0.25">
      <c r="A24" s="45"/>
      <c r="B24" s="45"/>
      <c r="C24" s="45"/>
      <c r="D24" s="204"/>
      <c r="E24" s="45"/>
      <c r="F24" s="45"/>
      <c r="G24" s="45"/>
      <c r="H24" s="45"/>
      <c r="I24" s="45"/>
      <c r="J24" s="45"/>
      <c r="K24" s="45"/>
    </row>
    <row r="26" spans="1:14" x14ac:dyDescent="0.25">
      <c r="B26" s="22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81"/>
  <sheetViews>
    <sheetView topLeftCell="A276" workbookViewId="0">
      <selection sqref="A1:E309"/>
    </sheetView>
  </sheetViews>
  <sheetFormatPr defaultRowHeight="15" x14ac:dyDescent="0.25"/>
  <cols>
    <col min="1" max="1" width="17.75" customWidth="1"/>
    <col min="2" max="2" width="17.625" customWidth="1"/>
    <col min="3" max="3" width="29.75" customWidth="1"/>
    <col min="4" max="4" width="15.125" customWidth="1"/>
    <col min="5" max="5" width="21.125" customWidth="1"/>
  </cols>
  <sheetData>
    <row r="1" spans="1:6" ht="164.25" customHeight="1" x14ac:dyDescent="0.25">
      <c r="D1" s="442" t="s">
        <v>550</v>
      </c>
      <c r="E1" s="442"/>
      <c r="F1" s="157"/>
    </row>
    <row r="3" spans="1:6" x14ac:dyDescent="0.25">
      <c r="A3" s="443" t="s">
        <v>149</v>
      </c>
      <c r="B3" s="443"/>
      <c r="C3" s="443"/>
      <c r="D3" s="443"/>
      <c r="E3" s="443"/>
    </row>
    <row r="4" spans="1:6" ht="35.450000000000003" customHeight="1" x14ac:dyDescent="0.25">
      <c r="A4" s="444" t="s">
        <v>173</v>
      </c>
      <c r="B4" s="444"/>
      <c r="C4" s="444"/>
      <c r="D4" s="444"/>
      <c r="E4" s="444"/>
    </row>
    <row r="5" spans="1:6" ht="60" x14ac:dyDescent="0.25">
      <c r="A5" s="114" t="s">
        <v>150</v>
      </c>
      <c r="B5" s="115" t="s">
        <v>151</v>
      </c>
      <c r="C5" s="114" t="s">
        <v>152</v>
      </c>
      <c r="D5" s="114" t="s">
        <v>153</v>
      </c>
      <c r="E5" s="114" t="s">
        <v>154</v>
      </c>
    </row>
    <row r="6" spans="1:6" x14ac:dyDescent="0.25">
      <c r="A6" s="116">
        <v>1</v>
      </c>
      <c r="B6" s="116">
        <v>2</v>
      </c>
      <c r="C6" s="116">
        <v>3</v>
      </c>
      <c r="D6" s="116">
        <v>4</v>
      </c>
      <c r="E6" s="116">
        <v>5</v>
      </c>
    </row>
    <row r="7" spans="1:6" ht="37.15" customHeight="1" x14ac:dyDescent="0.25">
      <c r="A7" s="453" t="s">
        <v>55</v>
      </c>
      <c r="B7" s="451" t="s">
        <v>174</v>
      </c>
      <c r="C7" s="445" t="s">
        <v>155</v>
      </c>
      <c r="D7" s="446"/>
      <c r="E7" s="447"/>
    </row>
    <row r="8" spans="1:6" ht="14.45" customHeight="1" x14ac:dyDescent="0.25">
      <c r="A8" s="454"/>
      <c r="B8" s="452"/>
      <c r="C8" s="448" t="s">
        <v>156</v>
      </c>
      <c r="D8" s="449"/>
      <c r="E8" s="450"/>
    </row>
    <row r="9" spans="1:6" ht="15" customHeight="1" x14ac:dyDescent="0.25">
      <c r="A9" s="454"/>
      <c r="B9" s="452"/>
      <c r="C9" s="119" t="s">
        <v>163</v>
      </c>
      <c r="D9" s="118" t="s">
        <v>157</v>
      </c>
      <c r="E9" s="325">
        <f>'работа 3 добр'!D26</f>
        <v>1.8759999999999999</v>
      </c>
    </row>
    <row r="10" spans="1:6" ht="15" customHeight="1" x14ac:dyDescent="0.25">
      <c r="A10" s="454"/>
      <c r="B10" s="452"/>
      <c r="C10" s="119" t="s">
        <v>108</v>
      </c>
      <c r="D10" s="117" t="s">
        <v>157</v>
      </c>
      <c r="E10" s="326">
        <f>'работа 3 добр'!D25</f>
        <v>0.33500000000000002</v>
      </c>
    </row>
    <row r="11" spans="1:6" ht="13.9" customHeight="1" x14ac:dyDescent="0.25">
      <c r="A11" s="454"/>
      <c r="B11" s="452"/>
      <c r="C11" s="458" t="s">
        <v>167</v>
      </c>
      <c r="D11" s="459"/>
      <c r="E11" s="460"/>
    </row>
    <row r="12" spans="1:6" ht="40.15" customHeight="1" x14ac:dyDescent="0.25">
      <c r="A12" s="454"/>
      <c r="B12" s="452"/>
      <c r="C12" s="133" t="s">
        <v>304</v>
      </c>
      <c r="D12" s="111" t="s">
        <v>39</v>
      </c>
      <c r="E12" s="320">
        <f>'работа 3 добр'!E53</f>
        <v>0.33500000000000002</v>
      </c>
    </row>
    <row r="13" spans="1:6" ht="25.15" customHeight="1" x14ac:dyDescent="0.25">
      <c r="A13" s="454"/>
      <c r="B13" s="452"/>
      <c r="C13" s="133" t="s">
        <v>305</v>
      </c>
      <c r="D13" s="111" t="s">
        <v>39</v>
      </c>
      <c r="E13" s="320">
        <f>'работа 3 добр'!E54</f>
        <v>0.33500000000000002</v>
      </c>
    </row>
    <row r="14" spans="1:6" ht="21" customHeight="1" x14ac:dyDescent="0.25">
      <c r="A14" s="454"/>
      <c r="B14" s="452"/>
      <c r="C14" s="133" t="s">
        <v>306</v>
      </c>
      <c r="D14" s="111" t="s">
        <v>39</v>
      </c>
      <c r="E14" s="320">
        <f>'работа 3 добр'!E55</f>
        <v>0.33500000000000002</v>
      </c>
    </row>
    <row r="15" spans="1:6" ht="32.25" customHeight="1" x14ac:dyDescent="0.25">
      <c r="A15" s="454"/>
      <c r="B15" s="452"/>
      <c r="C15" s="467" t="s">
        <v>168</v>
      </c>
      <c r="D15" s="468"/>
      <c r="E15" s="469"/>
    </row>
    <row r="16" spans="1:6" ht="30" customHeight="1" x14ac:dyDescent="0.25">
      <c r="A16" s="454"/>
      <c r="B16" s="452"/>
      <c r="C16" s="121" t="str">
        <f>'работа 3 добр'!A65</f>
        <v>Проживание 3 суток</v>
      </c>
      <c r="D16" s="92" t="s">
        <v>143</v>
      </c>
      <c r="E16" s="185">
        <f>'работа 3 добр'!E65</f>
        <v>5</v>
      </c>
    </row>
    <row r="17" spans="1:5" ht="16.899999999999999" customHeight="1" x14ac:dyDescent="0.25">
      <c r="A17" s="454"/>
      <c r="B17" s="452"/>
      <c r="C17" s="121" t="str">
        <f>'работа 3 добр'!A66</f>
        <v>Суточные (5 подростков)</v>
      </c>
      <c r="D17" s="233" t="s">
        <v>143</v>
      </c>
      <c r="E17" s="185">
        <f>'работа 3 добр'!E66</f>
        <v>5</v>
      </c>
    </row>
    <row r="18" spans="1:5" ht="16.899999999999999" customHeight="1" x14ac:dyDescent="0.25">
      <c r="A18" s="454"/>
      <c r="B18" s="452"/>
      <c r="C18" s="121" t="str">
        <f>'работа 3 добр'!A68</f>
        <v>Статуэтки Ника для вручения премия Главы с шильдой</v>
      </c>
      <c r="D18" s="233" t="str">
        <f>'работа 3 добр'!D79</f>
        <v>шт</v>
      </c>
      <c r="E18" s="185">
        <f>'работа 3 добр'!E68</f>
        <v>10</v>
      </c>
    </row>
    <row r="19" spans="1:5" ht="16.899999999999999" customHeight="1" x14ac:dyDescent="0.25">
      <c r="A19" s="454"/>
      <c r="B19" s="452"/>
      <c r="C19" s="121" t="str">
        <f>'работа 3 добр'!A69</f>
        <v>Толстовки синие с капюш., без молнии, нанесение спина/грудь</v>
      </c>
      <c r="D19" s="233" t="str">
        <f>'работа 3 добр'!D80</f>
        <v>шт</v>
      </c>
      <c r="E19" s="185">
        <f>'работа 3 добр'!E69</f>
        <v>6</v>
      </c>
    </row>
    <row r="20" spans="1:5" ht="16.899999999999999" customHeight="1" x14ac:dyDescent="0.25">
      <c r="A20" s="454"/>
      <c r="B20" s="452"/>
      <c r="C20" s="121" t="str">
        <f>'работа 3 добр'!A70</f>
        <v>Баннер "ПрессВолл"</v>
      </c>
      <c r="D20" s="364" t="str">
        <f>'работа 3 добр'!D81</f>
        <v>шт</v>
      </c>
      <c r="E20" s="185">
        <f>'работа 3 добр'!E70</f>
        <v>1</v>
      </c>
    </row>
    <row r="21" spans="1:5" ht="16.899999999999999" customHeight="1" x14ac:dyDescent="0.25">
      <c r="A21" s="454"/>
      <c r="B21" s="452"/>
      <c r="C21" s="121" t="str">
        <f>'работа 3 добр'!A71</f>
        <v>Магнитный пазл "Карта района"</v>
      </c>
      <c r="D21" s="364" t="s">
        <v>93</v>
      </c>
      <c r="E21" s="185">
        <f>'работа 3 добр'!E71</f>
        <v>2</v>
      </c>
    </row>
    <row r="22" spans="1:5" ht="16.899999999999999" customHeight="1" x14ac:dyDescent="0.25">
      <c r="A22" s="454"/>
      <c r="B22" s="452"/>
      <c r="C22" s="121" t="str">
        <f>'работа 3 добр'!A72</f>
        <v>Банер "Мечевой бой"</v>
      </c>
      <c r="D22" s="364" t="s">
        <v>93</v>
      </c>
      <c r="E22" s="185">
        <f>'работа 3 добр'!E72</f>
        <v>3</v>
      </c>
    </row>
    <row r="23" spans="1:5" ht="16.899999999999999" customHeight="1" x14ac:dyDescent="0.25">
      <c r="A23" s="454"/>
      <c r="B23" s="452"/>
      <c r="C23" s="121" t="str">
        <f>'работа 3 добр'!A73</f>
        <v>Полотно для прессвола</v>
      </c>
      <c r="D23" s="364" t="s">
        <v>93</v>
      </c>
      <c r="E23" s="185">
        <f>'работа 3 добр'!E73</f>
        <v>5</v>
      </c>
    </row>
    <row r="24" spans="1:5" ht="16.899999999999999" customHeight="1" x14ac:dyDescent="0.25">
      <c r="A24" s="454"/>
      <c r="B24" s="452"/>
      <c r="C24" s="121" t="str">
        <f>'работа 3 добр'!A74</f>
        <v>Банер "Трудовой отряд"</v>
      </c>
      <c r="D24" s="364" t="s">
        <v>93</v>
      </c>
      <c r="E24" s="185">
        <f>'работа 3 добр'!E74</f>
        <v>1</v>
      </c>
    </row>
    <row r="25" spans="1:5" ht="16.899999999999999" customHeight="1" x14ac:dyDescent="0.25">
      <c r="A25" s="454"/>
      <c r="B25" s="452"/>
      <c r="C25" s="121" t="str">
        <f>'работа 3 добр'!A75</f>
        <v>Бейдж пластик на ленте "Молодежная премия"</v>
      </c>
      <c r="D25" s="364" t="s">
        <v>93</v>
      </c>
      <c r="E25" s="185">
        <f>'работа 3 добр'!E75</f>
        <v>22</v>
      </c>
    </row>
    <row r="26" spans="1:5" ht="16.899999999999999" customHeight="1" x14ac:dyDescent="0.25">
      <c r="A26" s="454"/>
      <c r="B26" s="452"/>
      <c r="C26" s="121" t="str">
        <f>'работа 3 добр'!A76</f>
        <v>Банер 2*2 люверсы</v>
      </c>
      <c r="D26" s="364" t="s">
        <v>93</v>
      </c>
      <c r="E26" s="185">
        <f>'работа 3 добр'!E76</f>
        <v>3</v>
      </c>
    </row>
    <row r="27" spans="1:5" ht="16.899999999999999" customHeight="1" x14ac:dyDescent="0.25">
      <c r="A27" s="454"/>
      <c r="B27" s="452"/>
      <c r="C27" s="121" t="str">
        <f>'работа 3 добр'!A77</f>
        <v>Хэштег фанера</v>
      </c>
      <c r="D27" s="364" t="s">
        <v>93</v>
      </c>
      <c r="E27" s="185">
        <f>'работа 3 добр'!E77</f>
        <v>3</v>
      </c>
    </row>
    <row r="28" spans="1:5" ht="21.75" customHeight="1" x14ac:dyDescent="0.25">
      <c r="A28" s="454"/>
      <c r="B28" s="452"/>
      <c r="C28" s="121" t="str">
        <f>'работа 3 добр'!A79</f>
        <v>Ручка пластиковая с логотипом МЦ</v>
      </c>
      <c r="D28" s="364" t="s">
        <v>93</v>
      </c>
      <c r="E28" s="185">
        <f>'работа 3 добр'!E79</f>
        <v>50</v>
      </c>
    </row>
    <row r="29" spans="1:5" ht="14.45" customHeight="1" x14ac:dyDescent="0.25">
      <c r="A29" s="454"/>
      <c r="B29" s="452"/>
      <c r="C29" s="121" t="str">
        <f>'работа 3 добр'!A80</f>
        <v>Значок РДШ, d56</v>
      </c>
      <c r="D29" s="364" t="s">
        <v>93</v>
      </c>
      <c r="E29" s="185">
        <f>'работа 3 добр'!E80</f>
        <v>200</v>
      </c>
    </row>
    <row r="30" spans="1:5" ht="12" customHeight="1" x14ac:dyDescent="0.25">
      <c r="A30" s="454"/>
      <c r="B30" s="452"/>
      <c r="C30" s="121" t="str">
        <f>'работа 3 добр'!A81</f>
        <v>Блокнот А5 с логотипом МЦ</v>
      </c>
      <c r="D30" s="364" t="s">
        <v>93</v>
      </c>
      <c r="E30" s="185">
        <f>'работа 3 добр'!E81</f>
        <v>200</v>
      </c>
    </row>
    <row r="31" spans="1:5" ht="31.5" customHeight="1" x14ac:dyDescent="0.25">
      <c r="A31" s="454"/>
      <c r="B31" s="452"/>
      <c r="C31" s="121" t="str">
        <f>'работа 3 добр'!A83</f>
        <v>Рамки А4 для дипломов</v>
      </c>
      <c r="D31" s="364" t="s">
        <v>93</v>
      </c>
      <c r="E31" s="185">
        <f>'работа 3 добр'!E83</f>
        <v>90</v>
      </c>
    </row>
    <row r="32" spans="1:5" ht="31.15" customHeight="1" x14ac:dyDescent="0.25">
      <c r="A32" s="454"/>
      <c r="B32" s="452"/>
      <c r="C32" s="121" t="str">
        <f>'работа 3 добр'!A85</f>
        <v>оказание гостиничных услуг</v>
      </c>
      <c r="D32" s="233" t="s">
        <v>255</v>
      </c>
      <c r="E32" s="185">
        <f>'работа 3 добр'!E85</f>
        <v>2</v>
      </c>
    </row>
    <row r="33" spans="1:5" ht="12" hidden="1" customHeight="1" x14ac:dyDescent="0.25">
      <c r="A33" s="454"/>
      <c r="B33" s="452"/>
      <c r="C33" s="121" t="e">
        <f>'работа 3 добр'!#REF!</f>
        <v>#REF!</v>
      </c>
      <c r="D33" s="233" t="e">
        <f>'работа 3 добр'!#REF!</f>
        <v>#REF!</v>
      </c>
      <c r="E33" s="185" t="e">
        <f>'работа 3 добр'!#REF!</f>
        <v>#REF!</v>
      </c>
    </row>
    <row r="34" spans="1:5" ht="12" hidden="1" customHeight="1" x14ac:dyDescent="0.25">
      <c r="A34" s="454"/>
      <c r="B34" s="452"/>
      <c r="C34" s="121" t="e">
        <f>'работа 3 добр'!#REF!</f>
        <v>#REF!</v>
      </c>
      <c r="D34" s="233" t="e">
        <f>'работа 3 добр'!#REF!</f>
        <v>#REF!</v>
      </c>
      <c r="E34" s="185" t="e">
        <f>'работа 3 добр'!#REF!</f>
        <v>#REF!</v>
      </c>
    </row>
    <row r="35" spans="1:5" ht="12" customHeight="1" x14ac:dyDescent="0.25">
      <c r="A35" s="454"/>
      <c r="B35" s="452"/>
      <c r="C35" s="470" t="s">
        <v>158</v>
      </c>
      <c r="D35" s="471"/>
      <c r="E35" s="472"/>
    </row>
    <row r="36" spans="1:5" ht="14.45" customHeight="1" x14ac:dyDescent="0.25">
      <c r="A36" s="454"/>
      <c r="B36" s="452"/>
      <c r="C36" s="470" t="s">
        <v>159</v>
      </c>
      <c r="D36" s="471"/>
      <c r="E36" s="472"/>
    </row>
    <row r="37" spans="1:5" ht="14.45" customHeight="1" x14ac:dyDescent="0.25">
      <c r="A37" s="454"/>
      <c r="B37" s="452"/>
      <c r="C37" s="12" t="str">
        <f>'работа 3 добр'!A136</f>
        <v>Теплоэнергия</v>
      </c>
      <c r="D37" s="129" t="str">
        <f>'работа 3 добр'!B136</f>
        <v>Гкал</v>
      </c>
      <c r="E37" s="130">
        <f>'работа 3 добр'!D136</f>
        <v>18.425000000000001</v>
      </c>
    </row>
    <row r="38" spans="1:5" ht="14.45" customHeight="1" x14ac:dyDescent="0.25">
      <c r="A38" s="454"/>
      <c r="B38" s="452"/>
      <c r="C38" s="12" t="str">
        <f>'работа 3 добр'!A137</f>
        <v>Водоснабжение 1 полугодие</v>
      </c>
      <c r="D38" s="129" t="str">
        <f>'работа 3 добр'!B137</f>
        <v>м3</v>
      </c>
      <c r="E38" s="130">
        <f>'работа 3 добр'!D137</f>
        <v>35.610500000000002</v>
      </c>
    </row>
    <row r="39" spans="1:5" ht="14.45" customHeight="1" x14ac:dyDescent="0.25">
      <c r="A39" s="454"/>
      <c r="B39" s="452"/>
      <c r="C39" s="12" t="str">
        <f>'работа 3 добр'!A138</f>
        <v>Водоснабжение 2 полугодие</v>
      </c>
      <c r="D39" s="129" t="str">
        <f>'работа 3 добр'!B138</f>
        <v>м3</v>
      </c>
      <c r="E39" s="130">
        <f>'работа 3 добр'!D138</f>
        <v>35.610500000000002</v>
      </c>
    </row>
    <row r="40" spans="1:5" ht="14.45" customHeight="1" x14ac:dyDescent="0.25">
      <c r="A40" s="454"/>
      <c r="B40" s="452"/>
      <c r="C40" s="12" t="str">
        <f>'работа 3 добр'!A139</f>
        <v>Электроэнергия</v>
      </c>
      <c r="D40" s="129" t="str">
        <f>'работа 3 добр'!B139</f>
        <v>КВТ/ч</v>
      </c>
      <c r="E40" s="130">
        <f>'работа 3 добр'!D139</f>
        <v>3.4706000000000001</v>
      </c>
    </row>
    <row r="41" spans="1:5" ht="14.45" customHeight="1" x14ac:dyDescent="0.25">
      <c r="A41" s="454"/>
      <c r="B41" s="452"/>
      <c r="C41" s="12" t="str">
        <f>'работа 3 добр'!A140</f>
        <v>Водоотведение (септик)  откачка асс. машиной 6 раз в год</v>
      </c>
      <c r="D41" s="129" t="str">
        <f>'работа 3 добр'!B140</f>
        <v>дог</v>
      </c>
      <c r="E41" s="130">
        <f>'работа 3 добр'!D140</f>
        <v>4.0200000000000005</v>
      </c>
    </row>
    <row r="42" spans="1:5" ht="14.45" customHeight="1" x14ac:dyDescent="0.25">
      <c r="A42" s="454"/>
      <c r="B42" s="452"/>
      <c r="C42" s="425" t="str">
        <f>'работа 3 добр'!A141</f>
        <v>ТКО</v>
      </c>
      <c r="D42" s="425" t="str">
        <f>'работа 3 добр'!B141</f>
        <v>м3</v>
      </c>
      <c r="E42" s="129">
        <f>'работа 3 добр'!D141</f>
        <v>1.2180600000000001</v>
      </c>
    </row>
    <row r="43" spans="1:5" ht="35.25" customHeight="1" x14ac:dyDescent="0.25">
      <c r="A43" s="454"/>
      <c r="B43" s="452"/>
      <c r="C43" s="473" t="s">
        <v>160</v>
      </c>
      <c r="D43" s="474"/>
      <c r="E43" s="475"/>
    </row>
    <row r="44" spans="1:5" ht="35.25" customHeight="1" x14ac:dyDescent="0.25">
      <c r="A44" s="454"/>
      <c r="B44" s="452"/>
      <c r="C44" s="138" t="str">
        <f>'работа 3 добр'!A180</f>
        <v xml:space="preserve">Обслуживание систем пожарной сигнализации  </v>
      </c>
      <c r="D44" s="129" t="s">
        <v>22</v>
      </c>
      <c r="E44" s="327">
        <f>'работа 3 добр'!D180</f>
        <v>4.0200000000000005</v>
      </c>
    </row>
    <row r="45" spans="1:5" ht="35.25" customHeight="1" x14ac:dyDescent="0.25">
      <c r="A45" s="454"/>
      <c r="B45" s="452"/>
      <c r="C45" s="138" t="str">
        <f>'работа 3 добр'!A181</f>
        <v xml:space="preserve">Уборка территории от снега </v>
      </c>
      <c r="D45" s="129" t="s">
        <v>22</v>
      </c>
      <c r="E45" s="327">
        <f>'работа 3 добр'!D181</f>
        <v>0.67</v>
      </c>
    </row>
    <row r="46" spans="1:5" ht="35.25" customHeight="1" x14ac:dyDescent="0.25">
      <c r="A46" s="454"/>
      <c r="B46" s="452"/>
      <c r="C46" s="138" t="str">
        <f>'работа 3 добр'!A182</f>
        <v>Профилактическая дезинфекция</v>
      </c>
      <c r="D46" s="129" t="s">
        <v>22</v>
      </c>
      <c r="E46" s="327">
        <f>'работа 3 добр'!D182</f>
        <v>0.33500000000000002</v>
      </c>
    </row>
    <row r="47" spans="1:5" ht="35.25" customHeight="1" x14ac:dyDescent="0.25">
      <c r="A47" s="454"/>
      <c r="B47" s="452"/>
      <c r="C47" s="138" t="str">
        <f>'работа 3 добр'!A183</f>
        <v>Комплексное обслуживание системы тепловодоснабжения и конструктивных элементов здания</v>
      </c>
      <c r="D47" s="129" t="s">
        <v>22</v>
      </c>
      <c r="E47" s="327">
        <f>'работа 3 добр'!D183</f>
        <v>0.33500000000000002</v>
      </c>
    </row>
    <row r="48" spans="1:5" ht="35.25" customHeight="1" x14ac:dyDescent="0.25">
      <c r="A48" s="454"/>
      <c r="B48" s="452"/>
      <c r="C48" s="138" t="str">
        <f>'работа 3 добр'!A184</f>
        <v>Договор ТО автомобиля</v>
      </c>
      <c r="D48" s="129" t="s">
        <v>22</v>
      </c>
      <c r="E48" s="327">
        <f>'работа 3 добр'!D184</f>
        <v>0.33500000000000002</v>
      </c>
    </row>
    <row r="49" spans="1:5" ht="35.25" customHeight="1" x14ac:dyDescent="0.25">
      <c r="A49" s="454"/>
      <c r="B49" s="452"/>
      <c r="C49" s="138" t="str">
        <f>'работа 3 добр'!A185</f>
        <v>Восстановительные работы по а/м Хёндай (остаток не под контрактом)</v>
      </c>
      <c r="D49" s="129" t="s">
        <v>22</v>
      </c>
      <c r="E49" s="327">
        <f>'работа 3 добр'!D185</f>
        <v>0.33500000000000002</v>
      </c>
    </row>
    <row r="50" spans="1:5" ht="33.6" customHeight="1" x14ac:dyDescent="0.25">
      <c r="A50" s="454"/>
      <c r="B50" s="452"/>
      <c r="C50" s="138" t="str">
        <f>'работа 3 добр'!A186</f>
        <v>Покраска переднего бампера</v>
      </c>
      <c r="D50" s="129" t="s">
        <v>22</v>
      </c>
      <c r="E50" s="327">
        <f>'работа 3 добр'!D186</f>
        <v>0.33500000000000002</v>
      </c>
    </row>
    <row r="51" spans="1:5" ht="12" customHeight="1" x14ac:dyDescent="0.25">
      <c r="A51" s="454"/>
      <c r="B51" s="452"/>
      <c r="C51" s="138" t="str">
        <f>'работа 3 добр'!A187</f>
        <v>Покраска капота</v>
      </c>
      <c r="D51" s="129" t="s">
        <v>22</v>
      </c>
      <c r="E51" s="327">
        <f>'работа 3 добр'!D187</f>
        <v>0.33500000000000002</v>
      </c>
    </row>
    <row r="52" spans="1:5" ht="21" customHeight="1" x14ac:dyDescent="0.25">
      <c r="A52" s="454"/>
      <c r="B52" s="452"/>
      <c r="C52" s="138" t="str">
        <f>'работа 3 добр'!A188</f>
        <v>Покраска переднего левого крыла</v>
      </c>
      <c r="D52" s="129" t="s">
        <v>22</v>
      </c>
      <c r="E52" s="327">
        <f>'работа 3 добр'!D188</f>
        <v>0.33500000000000002</v>
      </c>
    </row>
    <row r="53" spans="1:5" ht="21" customHeight="1" x14ac:dyDescent="0.25">
      <c r="A53" s="454"/>
      <c r="B53" s="452"/>
      <c r="C53" s="138" t="str">
        <f>'работа 3 добр'!A189</f>
        <v>Покраска переднего правого крыла</v>
      </c>
      <c r="D53" s="129" t="s">
        <v>22</v>
      </c>
      <c r="E53" s="327">
        <f>'работа 3 добр'!D189</f>
        <v>0.33500000000000002</v>
      </c>
    </row>
    <row r="54" spans="1:5" ht="21" customHeight="1" x14ac:dyDescent="0.25">
      <c r="A54" s="454"/>
      <c r="B54" s="452"/>
      <c r="C54" s="138" t="str">
        <f>'работа 3 добр'!A190</f>
        <v>Покраска передней левой двери</v>
      </c>
      <c r="D54" s="129" t="s">
        <v>22</v>
      </c>
      <c r="E54" s="327">
        <f>'работа 3 добр'!D190</f>
        <v>0.33500000000000002</v>
      </c>
    </row>
    <row r="55" spans="1:5" ht="21" customHeight="1" x14ac:dyDescent="0.25">
      <c r="A55" s="454"/>
      <c r="B55" s="452"/>
      <c r="C55" s="138" t="str">
        <f>'работа 3 добр'!A191</f>
        <v>Покраска двери передней правой</v>
      </c>
      <c r="D55" s="129" t="s">
        <v>22</v>
      </c>
      <c r="E55" s="327">
        <f>'работа 3 добр'!D191</f>
        <v>0.33500000000000002</v>
      </c>
    </row>
    <row r="56" spans="1:5" ht="21" customHeight="1" x14ac:dyDescent="0.25">
      <c r="A56" s="454"/>
      <c r="B56" s="452"/>
      <c r="C56" s="138" t="str">
        <f>'работа 3 добр'!A192</f>
        <v>Покраска стойки правой</v>
      </c>
      <c r="D56" s="129" t="s">
        <v>22</v>
      </c>
      <c r="E56" s="327">
        <f>'работа 3 добр'!D192</f>
        <v>0.33500000000000002</v>
      </c>
    </row>
    <row r="57" spans="1:5" ht="21" customHeight="1" x14ac:dyDescent="0.25">
      <c r="A57" s="454"/>
      <c r="B57" s="452"/>
      <c r="C57" s="138" t="str">
        <f>'работа 3 добр'!A193</f>
        <v>Ремонт заднего бампера</v>
      </c>
      <c r="D57" s="129" t="s">
        <v>22</v>
      </c>
      <c r="E57" s="327">
        <f>'работа 3 добр'!D193</f>
        <v>0.33500000000000002</v>
      </c>
    </row>
    <row r="58" spans="1:5" ht="21" customHeight="1" x14ac:dyDescent="0.25">
      <c r="A58" s="454"/>
      <c r="B58" s="452"/>
      <c r="C58" s="138" t="str">
        <f>'работа 3 добр'!A194</f>
        <v>Покраска заднего бампера</v>
      </c>
      <c r="D58" s="129" t="s">
        <v>22</v>
      </c>
      <c r="E58" s="327">
        <f>'работа 3 добр'!D194</f>
        <v>0.33500000000000002</v>
      </c>
    </row>
    <row r="59" spans="1:5" ht="21" customHeight="1" x14ac:dyDescent="0.25">
      <c r="A59" s="454"/>
      <c r="B59" s="452"/>
      <c r="C59" s="138" t="str">
        <f>'работа 3 добр'!A195</f>
        <v>Полировка кузова</v>
      </c>
      <c r="D59" s="129" t="s">
        <v>22</v>
      </c>
      <c r="E59" s="327">
        <f>'работа 3 добр'!D195</f>
        <v>0.33500000000000002</v>
      </c>
    </row>
    <row r="60" spans="1:5" ht="21" customHeight="1" x14ac:dyDescent="0.25">
      <c r="A60" s="454"/>
      <c r="B60" s="452"/>
      <c r="C60" s="138" t="str">
        <f>'работа 3 добр'!A196</f>
        <v>Покраска крышки багажника</v>
      </c>
      <c r="D60" s="129" t="s">
        <v>22</v>
      </c>
      <c r="E60" s="327">
        <f>'работа 3 добр'!D196</f>
        <v>0.33500000000000002</v>
      </c>
    </row>
    <row r="61" spans="1:5" ht="21" customHeight="1" x14ac:dyDescent="0.25">
      <c r="A61" s="454"/>
      <c r="B61" s="452"/>
      <c r="C61" s="138" t="str">
        <f>'работа 3 добр'!A197</f>
        <v>Полировка стекол со снятием</v>
      </c>
      <c r="D61" s="129" t="s">
        <v>22</v>
      </c>
      <c r="E61" s="327">
        <f>'работа 3 добр'!D197</f>
        <v>0.33500000000000002</v>
      </c>
    </row>
    <row r="62" spans="1:5" ht="21" customHeight="1" x14ac:dyDescent="0.25">
      <c r="A62" s="454"/>
      <c r="B62" s="452"/>
      <c r="C62" s="138" t="str">
        <f>'работа 3 добр'!A198</f>
        <v>Слесарные работы по восстановлению сидений</v>
      </c>
      <c r="D62" s="129" t="s">
        <v>22</v>
      </c>
      <c r="E62" s="327">
        <f>'работа 3 добр'!D198</f>
        <v>0.33500000000000002</v>
      </c>
    </row>
    <row r="63" spans="1:5" ht="21" customHeight="1" x14ac:dyDescent="0.25">
      <c r="A63" s="454"/>
      <c r="B63" s="452"/>
      <c r="C63" s="138" t="str">
        <f>'работа 3 добр'!A199</f>
        <v>Ремонт электрогитары</v>
      </c>
      <c r="D63" s="129" t="s">
        <v>22</v>
      </c>
      <c r="E63" s="327">
        <f>'работа 3 добр'!D199</f>
        <v>0.33500000000000002</v>
      </c>
    </row>
    <row r="64" spans="1:5" ht="21" customHeight="1" x14ac:dyDescent="0.25">
      <c r="A64" s="454"/>
      <c r="B64" s="452"/>
      <c r="C64" s="138" t="str">
        <f>'работа 3 добр'!A200</f>
        <v>Ремонт акустической системы</v>
      </c>
      <c r="D64" s="129" t="s">
        <v>22</v>
      </c>
      <c r="E64" s="327">
        <f>'работа 3 добр'!D200</f>
        <v>0.33500000000000002</v>
      </c>
    </row>
    <row r="65" spans="1:5" ht="21" customHeight="1" x14ac:dyDescent="0.25">
      <c r="A65" s="454"/>
      <c r="B65" s="452"/>
      <c r="C65" s="138" t="str">
        <f>'работа 3 добр'!A201</f>
        <v>Ремонт микшера</v>
      </c>
      <c r="D65" s="129" t="s">
        <v>22</v>
      </c>
      <c r="E65" s="327">
        <f>'работа 3 добр'!D201</f>
        <v>0.33500000000000002</v>
      </c>
    </row>
    <row r="66" spans="1:5" ht="21" customHeight="1" x14ac:dyDescent="0.25">
      <c r="A66" s="454"/>
      <c r="B66" s="452"/>
      <c r="C66" s="138" t="str">
        <f>'работа 3 добр'!A202</f>
        <v>Ремонт комбо басовый</v>
      </c>
      <c r="D66" s="129" t="s">
        <v>22</v>
      </c>
      <c r="E66" s="327">
        <f>'работа 3 добр'!D202</f>
        <v>0.33500000000000002</v>
      </c>
    </row>
    <row r="67" spans="1:5" ht="21" customHeight="1" x14ac:dyDescent="0.25">
      <c r="A67" s="454"/>
      <c r="B67" s="452"/>
      <c r="C67" s="138" t="str">
        <f>'работа 3 добр'!A203</f>
        <v>Ремонт Гитарного комбоусителя</v>
      </c>
      <c r="D67" s="129" t="s">
        <v>22</v>
      </c>
      <c r="E67" s="327">
        <f>'работа 3 добр'!D203</f>
        <v>0.33500000000000002</v>
      </c>
    </row>
    <row r="68" spans="1:5" ht="21" customHeight="1" x14ac:dyDescent="0.25">
      <c r="A68" s="454"/>
      <c r="B68" s="452"/>
      <c r="C68" s="138" t="str">
        <f>'работа 3 добр'!A204</f>
        <v>Ремонт аккустической системы</v>
      </c>
      <c r="D68" s="129" t="s">
        <v>22</v>
      </c>
      <c r="E68" s="327">
        <f>'работа 3 добр'!D204</f>
        <v>0.33500000000000002</v>
      </c>
    </row>
    <row r="69" spans="1:5" ht="16.149999999999999" customHeight="1" x14ac:dyDescent="0.25">
      <c r="A69" s="454"/>
      <c r="B69" s="452"/>
      <c r="C69" s="455" t="s">
        <v>161</v>
      </c>
      <c r="D69" s="456"/>
      <c r="E69" s="457"/>
    </row>
    <row r="70" spans="1:5" ht="15.6" customHeight="1" x14ac:dyDescent="0.25">
      <c r="A70" s="454"/>
      <c r="B70" s="452"/>
      <c r="C70" s="131" t="str">
        <f>'работа 3 добр'!A158</f>
        <v>Договор ВЗ (связь по краю)</v>
      </c>
      <c r="D70" s="158" t="s">
        <v>100</v>
      </c>
      <c r="E70" s="327">
        <f>'работа 3 добр'!D158</f>
        <v>0.33500000000000002</v>
      </c>
    </row>
    <row r="71" spans="1:5" s="159" customFormat="1" ht="12" customHeight="1" x14ac:dyDescent="0.2">
      <c r="A71" s="454"/>
      <c r="B71" s="452"/>
      <c r="C71" s="131" t="str">
        <f>'работа 3 добр'!A159</f>
        <v>Абоненская плата за услуги связи, номеров</v>
      </c>
      <c r="D71" s="158" t="s">
        <v>22</v>
      </c>
      <c r="E71" s="327">
        <f>'работа 3 добр'!D159</f>
        <v>0.33500000000000002</v>
      </c>
    </row>
    <row r="72" spans="1:5" s="159" customFormat="1" ht="12" customHeight="1" x14ac:dyDescent="0.2">
      <c r="A72" s="454"/>
      <c r="B72" s="452"/>
      <c r="C72" s="131" t="str">
        <f>'работа 3 добр'!A160</f>
        <v>Абоненская плата за услуги Интернет кайтнет</v>
      </c>
      <c r="D72" s="158" t="s">
        <v>37</v>
      </c>
      <c r="E72" s="327">
        <f>'работа 3 добр'!D160</f>
        <v>0.33500000000000002</v>
      </c>
    </row>
    <row r="73" spans="1:5" s="159" customFormat="1" ht="12" customHeight="1" x14ac:dyDescent="0.2">
      <c r="A73" s="454"/>
      <c r="B73" s="452"/>
      <c r="C73" s="131" t="str">
        <f>'работа 3 добр'!A161</f>
        <v>Абоненская плата за услуги Интернет ИП Крамаренко:</v>
      </c>
      <c r="D73" s="158" t="s">
        <v>37</v>
      </c>
      <c r="E73" s="327">
        <f>'работа 3 добр'!D161</f>
        <v>0.33500000000000002</v>
      </c>
    </row>
    <row r="74" spans="1:5" s="159" customFormat="1" ht="12" customHeight="1" x14ac:dyDescent="0.2">
      <c r="A74" s="454"/>
      <c r="B74" s="452"/>
      <c r="C74" s="131" t="str">
        <f>'работа 3 добр'!A162</f>
        <v>Тариф Бизнес начальный</v>
      </c>
      <c r="D74" s="158" t="s">
        <v>38</v>
      </c>
      <c r="E74" s="327">
        <f>'работа 3 добр'!D162</f>
        <v>0.33500000000000002</v>
      </c>
    </row>
    <row r="75" spans="1:5" s="159" customFormat="1" ht="12" customHeight="1" x14ac:dyDescent="0.2">
      <c r="A75" s="454"/>
      <c r="B75" s="452"/>
      <c r="C75" s="131" t="str">
        <f>'работа 3 добр'!A163</f>
        <v>Тариф Бизнес</v>
      </c>
      <c r="D75" s="158" t="s">
        <v>38</v>
      </c>
      <c r="E75" s="327">
        <f>'работа 3 добр'!D163</f>
        <v>0.33500000000000002</v>
      </c>
    </row>
    <row r="76" spans="1:5" s="159" customFormat="1" ht="12" customHeight="1" x14ac:dyDescent="0.2">
      <c r="A76" s="454"/>
      <c r="B76" s="452"/>
      <c r="C76" s="131" t="str">
        <f>'работа 3 добр'!A164</f>
        <v>Почтовые услуги</v>
      </c>
      <c r="D76" s="158" t="s">
        <v>22</v>
      </c>
      <c r="E76" s="327">
        <f>'работа 3 добр'!D164</f>
        <v>0.33500000000000002</v>
      </c>
    </row>
    <row r="77" spans="1:5" s="159" customFormat="1" ht="12" customHeight="1" x14ac:dyDescent="0.2">
      <c r="A77" s="454"/>
      <c r="B77" s="452"/>
      <c r="C77" s="458" t="s">
        <v>162</v>
      </c>
      <c r="D77" s="459"/>
      <c r="E77" s="460"/>
    </row>
    <row r="78" spans="1:5" ht="13.5" customHeight="1" x14ac:dyDescent="0.25">
      <c r="A78" s="454"/>
      <c r="B78" s="452"/>
      <c r="C78" s="120" t="s">
        <v>228</v>
      </c>
      <c r="D78" s="160" t="s">
        <v>166</v>
      </c>
      <c r="E78" s="328">
        <f>'работа 3 добр'!E92</f>
        <v>0.33500000000000002</v>
      </c>
    </row>
    <row r="79" spans="1:5" s="159" customFormat="1" ht="12" customHeight="1" x14ac:dyDescent="0.2">
      <c r="A79" s="454"/>
      <c r="B79" s="452"/>
      <c r="C79" s="132" t="s">
        <v>164</v>
      </c>
      <c r="D79" s="160" t="s">
        <v>157</v>
      </c>
      <c r="E79" s="328">
        <f>'работа 3 добр'!E93</f>
        <v>0.33500000000000002</v>
      </c>
    </row>
    <row r="80" spans="1:5" s="159" customFormat="1" ht="12" customHeight="1" x14ac:dyDescent="0.2">
      <c r="A80" s="454"/>
      <c r="B80" s="452"/>
      <c r="C80" s="132" t="s">
        <v>101</v>
      </c>
      <c r="D80" s="160" t="s">
        <v>157</v>
      </c>
      <c r="E80" s="328">
        <f>'работа 3 добр'!E94</f>
        <v>0.16750000000000001</v>
      </c>
    </row>
    <row r="81" spans="1:5" s="159" customFormat="1" ht="12" customHeight="1" x14ac:dyDescent="0.2">
      <c r="A81" s="454"/>
      <c r="B81" s="452"/>
      <c r="C81" s="132" t="s">
        <v>165</v>
      </c>
      <c r="D81" s="160" t="s">
        <v>157</v>
      </c>
      <c r="E81" s="328">
        <f>'работа 3 добр'!E95</f>
        <v>0.33500000000000002</v>
      </c>
    </row>
    <row r="82" spans="1:5" s="159" customFormat="1" ht="12" customHeight="1" x14ac:dyDescent="0.2">
      <c r="A82" s="454"/>
      <c r="B82" s="452"/>
      <c r="C82" s="461" t="s">
        <v>169</v>
      </c>
      <c r="D82" s="462"/>
      <c r="E82" s="463"/>
    </row>
    <row r="83" spans="1:5" ht="28.15" customHeight="1" x14ac:dyDescent="0.25">
      <c r="A83" s="454"/>
      <c r="B83" s="452"/>
      <c r="C83" s="134" t="str">
        <f>'работа 3 добр'!A124</f>
        <v>Пособие по уходу за ребенком до 3-х лет</v>
      </c>
      <c r="D83" s="135" t="s">
        <v>141</v>
      </c>
      <c r="E83" s="324">
        <f>E78</f>
        <v>0.33500000000000002</v>
      </c>
    </row>
    <row r="84" spans="1:5" ht="28.15" customHeight="1" x14ac:dyDescent="0.25">
      <c r="A84" s="454"/>
      <c r="B84" s="452"/>
      <c r="C84" s="134" t="str">
        <f>'работа 3 добр'!A125</f>
        <v>выплата пособия на период трудоустройства (Остропицкая)</v>
      </c>
      <c r="D84" s="135" t="s">
        <v>141</v>
      </c>
      <c r="E84" s="324">
        <f t="shared" ref="E84:E86" si="0">E79</f>
        <v>0.33500000000000002</v>
      </c>
    </row>
    <row r="85" spans="1:5" ht="28.15" customHeight="1" x14ac:dyDescent="0.25">
      <c r="A85" s="454"/>
      <c r="B85" s="452"/>
      <c r="C85" s="134" t="str">
        <f>'работа 3 добр'!A126</f>
        <v>выплата пособия на период трудоустройства (Королёва)</v>
      </c>
      <c r="D85" s="135" t="s">
        <v>141</v>
      </c>
      <c r="E85" s="324">
        <f>E84</f>
        <v>0.33500000000000002</v>
      </c>
    </row>
    <row r="86" spans="1:5" ht="28.15" customHeight="1" x14ac:dyDescent="0.25">
      <c r="A86" s="454"/>
      <c r="B86" s="452"/>
      <c r="C86" s="134" t="str">
        <f>'работа 3 добр'!A127</f>
        <v>выплата пособия на период трудоустройства (Ахмерова)</v>
      </c>
      <c r="D86" s="135" t="s">
        <v>141</v>
      </c>
      <c r="E86" s="324">
        <f t="shared" si="0"/>
        <v>0.33500000000000002</v>
      </c>
    </row>
    <row r="87" spans="1:5" ht="22.15" customHeight="1" x14ac:dyDescent="0.25">
      <c r="A87" s="454"/>
      <c r="B87" s="452"/>
      <c r="C87" s="458" t="s">
        <v>170</v>
      </c>
      <c r="D87" s="459"/>
      <c r="E87" s="460"/>
    </row>
    <row r="88" spans="1:5" ht="40.15" customHeight="1" x14ac:dyDescent="0.25">
      <c r="A88" s="454"/>
      <c r="B88" s="452"/>
      <c r="C88" s="133" t="s">
        <v>304</v>
      </c>
      <c r="D88" s="111" t="s">
        <v>39</v>
      </c>
      <c r="E88" s="320">
        <f>'работа 3 добр'!E148</f>
        <v>0.33500000000000002</v>
      </c>
    </row>
    <row r="89" spans="1:5" ht="24" customHeight="1" x14ac:dyDescent="0.25">
      <c r="A89" s="454"/>
      <c r="B89" s="452"/>
      <c r="C89" s="133" t="s">
        <v>305</v>
      </c>
      <c r="D89" s="111" t="s">
        <v>39</v>
      </c>
      <c r="E89" s="320">
        <f>'работа 3 добр'!E149</f>
        <v>0.33500000000000002</v>
      </c>
    </row>
    <row r="90" spans="1:5" ht="18.75" customHeight="1" x14ac:dyDescent="0.25">
      <c r="A90" s="454"/>
      <c r="B90" s="452"/>
      <c r="C90" s="133" t="s">
        <v>306</v>
      </c>
      <c r="D90" s="111" t="s">
        <v>39</v>
      </c>
      <c r="E90" s="320">
        <f>'работа 3 добр'!E150</f>
        <v>0.33500000000000002</v>
      </c>
    </row>
    <row r="91" spans="1:5" ht="24" customHeight="1" x14ac:dyDescent="0.25">
      <c r="A91" s="454"/>
      <c r="B91" s="452"/>
      <c r="C91" s="464" t="s">
        <v>171</v>
      </c>
      <c r="D91" s="465"/>
      <c r="E91" s="466"/>
    </row>
    <row r="92" spans="1:5" ht="24" customHeight="1" x14ac:dyDescent="0.25">
      <c r="A92" s="454"/>
      <c r="B92" s="452"/>
      <c r="C92" s="136" t="str">
        <f>'работа 3 добр'!A171</f>
        <v>Проезд к месту учебы</v>
      </c>
      <c r="D92" s="137" t="s">
        <v>141</v>
      </c>
      <c r="E92" s="88">
        <f>'работа 3 добр'!D171</f>
        <v>0.33500000000000002</v>
      </c>
    </row>
    <row r="93" spans="1:5" ht="18.600000000000001" customHeight="1" x14ac:dyDescent="0.25">
      <c r="A93" s="454"/>
      <c r="B93" s="452"/>
      <c r="C93" s="136" t="str">
        <f>'работа 3 добр'!A172</f>
        <v>Провоз груза 2000 кг (1 кг=9,50 руб)</v>
      </c>
      <c r="D93" s="137" t="s">
        <v>22</v>
      </c>
      <c r="E93" s="88">
        <f>'работа 3 добр'!D172</f>
        <v>0.33500000000000002</v>
      </c>
    </row>
    <row r="94" spans="1:5" ht="15.6" customHeight="1" x14ac:dyDescent="0.25">
      <c r="A94" s="454"/>
      <c r="B94" s="452"/>
      <c r="C94" s="455" t="s">
        <v>172</v>
      </c>
      <c r="D94" s="456"/>
      <c r="E94" s="457"/>
    </row>
    <row r="95" spans="1:5" ht="12" customHeight="1" x14ac:dyDescent="0.25">
      <c r="A95" s="454"/>
      <c r="B95" s="452"/>
      <c r="C95" s="123" t="str">
        <f>'работа 3 добр'!A211</f>
        <v>Обучение персонала</v>
      </c>
      <c r="D95" s="69" t="str">
        <f>'работа 3 добр'!B211</f>
        <v>договор</v>
      </c>
      <c r="E95" s="185">
        <f>'работа 3 добр'!D211</f>
        <v>1.675</v>
      </c>
    </row>
    <row r="96" spans="1:5" ht="12" customHeight="1" x14ac:dyDescent="0.25">
      <c r="A96" s="454"/>
      <c r="B96" s="452"/>
      <c r="C96" s="123" t="str">
        <f>'работа 3 добр'!A212</f>
        <v>Услуги СЕМИС подписка</v>
      </c>
      <c r="D96" s="69" t="str">
        <f>'работа 3 добр'!B212</f>
        <v>договор</v>
      </c>
      <c r="E96" s="185">
        <f>'работа 3 добр'!D212</f>
        <v>0.33500000000000002</v>
      </c>
    </row>
    <row r="97" spans="1:5" ht="12" customHeight="1" x14ac:dyDescent="0.25">
      <c r="A97" s="454"/>
      <c r="B97" s="452"/>
      <c r="C97" s="123" t="str">
        <f>'работа 3 добр'!A213</f>
        <v xml:space="preserve">Обслуживание систем пожарной сигнализации  </v>
      </c>
      <c r="D97" s="69" t="str">
        <f>'работа 3 добр'!B213</f>
        <v>договор</v>
      </c>
      <c r="E97" s="185">
        <f>'работа 3 добр'!D213</f>
        <v>4.0200000000000005</v>
      </c>
    </row>
    <row r="98" spans="1:5" ht="12" customHeight="1" x14ac:dyDescent="0.25">
      <c r="A98" s="454"/>
      <c r="B98" s="452"/>
      <c r="C98" s="123" t="str">
        <f>'работа 3 добр'!A214</f>
        <v xml:space="preserve">Обслуживание систем видеонаблюдения </v>
      </c>
      <c r="D98" s="69" t="str">
        <f>'работа 3 добр'!B214</f>
        <v>договор</v>
      </c>
      <c r="E98" s="185">
        <f>'работа 3 добр'!D214</f>
        <v>4.0200000000000005</v>
      </c>
    </row>
    <row r="99" spans="1:5" ht="12" customHeight="1" x14ac:dyDescent="0.25">
      <c r="A99" s="454"/>
      <c r="B99" s="452"/>
      <c r="C99" s="123" t="str">
        <f>'работа 3 добр'!A215</f>
        <v>Предрейсовое медицинское обследование 247дней*90руб</v>
      </c>
      <c r="D99" s="69" t="str">
        <f>'работа 3 добр'!B215</f>
        <v>договор</v>
      </c>
      <c r="E99" s="185">
        <f>'работа 3 добр'!D215</f>
        <v>0.33500000000000002</v>
      </c>
    </row>
    <row r="100" spans="1:5" ht="12" customHeight="1" x14ac:dyDescent="0.25">
      <c r="A100" s="454"/>
      <c r="B100" s="452"/>
      <c r="C100" s="123" t="str">
        <f>'работа 3 добр'!A216</f>
        <v xml:space="preserve">Услуги охраны  </v>
      </c>
      <c r="D100" s="69" t="str">
        <f>'работа 3 добр'!B216</f>
        <v>договор</v>
      </c>
      <c r="E100" s="185">
        <f>'работа 3 добр'!D216</f>
        <v>4.0200000000000005</v>
      </c>
    </row>
    <row r="101" spans="1:5" ht="12" customHeight="1" x14ac:dyDescent="0.25">
      <c r="A101" s="454"/>
      <c r="B101" s="452"/>
      <c r="C101" s="123" t="str">
        <f>'работа 3 добр'!A217</f>
        <v>Обслуживание систем охранных средств сигнализации (тревожная кнопка)</v>
      </c>
      <c r="D101" s="69" t="str">
        <f>'работа 3 добр'!B217</f>
        <v>договор</v>
      </c>
      <c r="E101" s="185">
        <f>'работа 3 добр'!D217</f>
        <v>4.0200000000000005</v>
      </c>
    </row>
    <row r="102" spans="1:5" ht="12" customHeight="1" x14ac:dyDescent="0.25">
      <c r="A102" s="454"/>
      <c r="B102" s="452"/>
      <c r="C102" s="123" t="str">
        <f>'работа 3 добр'!A218</f>
        <v>Организация светового сопровождения мероприятия</v>
      </c>
      <c r="D102" s="69" t="str">
        <f>'работа 3 добр'!B218</f>
        <v>договор</v>
      </c>
      <c r="E102" s="185">
        <f>'работа 3 добр'!D218</f>
        <v>0.33500000000000002</v>
      </c>
    </row>
    <row r="103" spans="1:5" ht="12" customHeight="1" x14ac:dyDescent="0.25">
      <c r="A103" s="454"/>
      <c r="B103" s="452"/>
      <c r="C103" s="123" t="str">
        <f>'работа 3 добр'!A219</f>
        <v xml:space="preserve">Заключение договора на прохождение предварительного мед осмотра сотрудниками </v>
      </c>
      <c r="D103" s="69" t="str">
        <f>'работа 3 добр'!B219</f>
        <v>договор</v>
      </c>
      <c r="E103" s="185">
        <f>'работа 3 добр'!D219</f>
        <v>2.0100000000000002</v>
      </c>
    </row>
    <row r="104" spans="1:5" ht="12" customHeight="1" x14ac:dyDescent="0.25">
      <c r="A104" s="454"/>
      <c r="B104" s="452"/>
      <c r="C104" s="123" t="str">
        <f>'работа 3 добр'!A220</f>
        <v>Прохождение периодического мед осмотра водителем</v>
      </c>
      <c r="D104" s="69" t="str">
        <f>'работа 3 добр'!B220</f>
        <v>договор</v>
      </c>
      <c r="E104" s="185">
        <f>'работа 3 добр'!D220</f>
        <v>0.33500000000000002</v>
      </c>
    </row>
    <row r="105" spans="1:5" ht="12" customHeight="1" x14ac:dyDescent="0.25">
      <c r="A105" s="454"/>
      <c r="B105" s="452"/>
      <c r="C105" s="123" t="str">
        <f>'работа 3 добр'!A221</f>
        <v>Страховая премия по полису ОСАГО за УАЗ</v>
      </c>
      <c r="D105" s="69" t="str">
        <f>'работа 3 добр'!B221</f>
        <v>договор</v>
      </c>
      <c r="E105" s="185">
        <f>'работа 3 добр'!D221</f>
        <v>0.33500000000000002</v>
      </c>
    </row>
    <row r="106" spans="1:5" ht="12" customHeight="1" x14ac:dyDescent="0.25">
      <c r="A106" s="454"/>
      <c r="B106" s="452"/>
      <c r="C106" s="123" t="str">
        <f>'работа 3 добр'!A222</f>
        <v>Microsoft Windows</v>
      </c>
      <c r="D106" s="69" t="str">
        <f>'работа 3 добр'!B222</f>
        <v>договор</v>
      </c>
      <c r="E106" s="185">
        <f>'работа 3 добр'!D222</f>
        <v>2.3450000000000002</v>
      </c>
    </row>
    <row r="107" spans="1:5" ht="12" customHeight="1" x14ac:dyDescent="0.25">
      <c r="A107" s="454"/>
      <c r="B107" s="452"/>
      <c r="C107" s="123" t="str">
        <f>'работа 3 добр'!A223</f>
        <v>Microsoft Offise</v>
      </c>
      <c r="D107" s="69" t="str">
        <f>'работа 3 добр'!B223</f>
        <v>договор</v>
      </c>
      <c r="E107" s="185">
        <f>'работа 3 добр'!D223</f>
        <v>0.67</v>
      </c>
    </row>
    <row r="108" spans="1:5" ht="12" customHeight="1" x14ac:dyDescent="0.25">
      <c r="A108" s="454"/>
      <c r="B108" s="452"/>
      <c r="C108" s="123" t="str">
        <f>'работа 3 добр'!A224</f>
        <v>Dr Web Security</v>
      </c>
      <c r="D108" s="69" t="str">
        <f>'работа 3 добр'!B224</f>
        <v>договор</v>
      </c>
      <c r="E108" s="185">
        <f>'работа 3 добр'!D224</f>
        <v>0.33500000000000002</v>
      </c>
    </row>
    <row r="109" spans="1:5" ht="12" customHeight="1" x14ac:dyDescent="0.25">
      <c r="A109" s="454"/>
      <c r="B109" s="452"/>
      <c r="C109" s="123" t="str">
        <f>'работа 3 добр'!A225</f>
        <v>Dr Web Security Spase</v>
      </c>
      <c r="D109" s="69" t="str">
        <f>'работа 3 добр'!B225</f>
        <v>договор</v>
      </c>
      <c r="E109" s="185">
        <f>'работа 3 добр'!D225</f>
        <v>0.33500000000000002</v>
      </c>
    </row>
    <row r="110" spans="1:5" ht="12" customHeight="1" x14ac:dyDescent="0.25">
      <c r="A110" s="454"/>
      <c r="B110" s="452"/>
      <c r="C110" s="123" t="str">
        <f>'работа 3 добр'!A226</f>
        <v>Оплата гос пошлины</v>
      </c>
      <c r="D110" s="69" t="str">
        <f>'работа 3 добр'!B226</f>
        <v>ед</v>
      </c>
      <c r="E110" s="185">
        <f>'работа 3 добр'!D226</f>
        <v>0.33500000000000002</v>
      </c>
    </row>
    <row r="111" spans="1:5" ht="12" customHeight="1" x14ac:dyDescent="0.25">
      <c r="A111" s="454"/>
      <c r="B111" s="452"/>
      <c r="C111" s="123" t="str">
        <f>'работа 3 добр'!A227</f>
        <v xml:space="preserve">Оплата за негативное воздействие </v>
      </c>
      <c r="D111" s="69" t="str">
        <f>'работа 3 добр'!B227</f>
        <v>ед</v>
      </c>
      <c r="E111" s="185">
        <f>'работа 3 добр'!D227</f>
        <v>0.33500000000000002</v>
      </c>
    </row>
    <row r="112" spans="1:5" ht="12" customHeight="1" x14ac:dyDescent="0.25">
      <c r="A112" s="454"/>
      <c r="B112" s="452"/>
      <c r="C112" s="123" t="str">
        <f>'работа 3 добр'!A228</f>
        <v>ПУГНП</v>
      </c>
      <c r="D112" s="69" t="str">
        <f>'работа 3 добр'!B228</f>
        <v>шт</v>
      </c>
      <c r="E112" s="185">
        <f>'работа 3 добр'!D228</f>
        <v>16.75</v>
      </c>
    </row>
    <row r="113" spans="1:5" ht="12" customHeight="1" x14ac:dyDescent="0.25">
      <c r="A113" s="454"/>
      <c r="B113" s="452"/>
      <c r="C113" s="123" t="str">
        <f>'работа 3 добр'!A229</f>
        <v>пакет майка</v>
      </c>
      <c r="D113" s="69" t="str">
        <f>'работа 3 добр'!B229</f>
        <v>шт</v>
      </c>
      <c r="E113" s="185">
        <f>'работа 3 добр'!D229</f>
        <v>0.33500000000000002</v>
      </c>
    </row>
    <row r="114" spans="1:5" ht="12" customHeight="1" x14ac:dyDescent="0.25">
      <c r="A114" s="454"/>
      <c r="B114" s="452"/>
      <c r="C114" s="123" t="str">
        <f>'работа 3 добр'!A230</f>
        <v>розетка</v>
      </c>
      <c r="D114" s="69" t="str">
        <f>'работа 3 добр'!B230</f>
        <v>шт</v>
      </c>
      <c r="E114" s="185">
        <f>'работа 3 добр'!D230</f>
        <v>1.675</v>
      </c>
    </row>
    <row r="115" spans="1:5" ht="12" customHeight="1" x14ac:dyDescent="0.25">
      <c r="A115" s="454"/>
      <c r="B115" s="452"/>
      <c r="C115" s="123" t="str">
        <f>'работа 3 добр'!A231</f>
        <v>Вилка евро</v>
      </c>
      <c r="D115" s="69" t="str">
        <f>'работа 3 добр'!B231</f>
        <v>шт</v>
      </c>
      <c r="E115" s="185">
        <f>'работа 3 добр'!D231</f>
        <v>1.675</v>
      </c>
    </row>
    <row r="116" spans="1:5" ht="12" customHeight="1" x14ac:dyDescent="0.25">
      <c r="A116" s="454"/>
      <c r="B116" s="452"/>
      <c r="C116" s="123" t="str">
        <f>'работа 3 добр'!A232</f>
        <v>розетка "Пралеска"</v>
      </c>
      <c r="D116" s="69" t="str">
        <f>'работа 3 добр'!B232</f>
        <v>шт</v>
      </c>
      <c r="E116" s="185">
        <f>'работа 3 добр'!D232</f>
        <v>1.0050000000000001</v>
      </c>
    </row>
    <row r="117" spans="1:5" ht="12" customHeight="1" x14ac:dyDescent="0.25">
      <c r="A117" s="454"/>
      <c r="B117" s="452"/>
      <c r="C117" s="123" t="str">
        <f>'работа 3 добр'!A233</f>
        <v>лампа "Онлайт"</v>
      </c>
      <c r="D117" s="69" t="str">
        <f>'работа 3 добр'!B233</f>
        <v>шт</v>
      </c>
      <c r="E117" s="185">
        <f>'работа 3 добр'!D233</f>
        <v>8.7100000000000009</v>
      </c>
    </row>
    <row r="118" spans="1:5" ht="12" customHeight="1" x14ac:dyDescent="0.25">
      <c r="A118" s="454"/>
      <c r="B118" s="452"/>
      <c r="C118" s="123" t="str">
        <f>'работа 3 добр'!A234</f>
        <v>пугнп</v>
      </c>
      <c r="D118" s="69" t="str">
        <f>'работа 3 добр'!B234</f>
        <v>шт</v>
      </c>
      <c r="E118" s="185">
        <f>'работа 3 добр'!D234</f>
        <v>2.3450000000000002</v>
      </c>
    </row>
    <row r="119" spans="1:5" ht="15" customHeight="1" x14ac:dyDescent="0.25">
      <c r="A119" s="454"/>
      <c r="B119" s="452"/>
      <c r="C119" s="123" t="str">
        <f>'работа 3 добр'!A235</f>
        <v>светильник точечный</v>
      </c>
      <c r="D119" s="69" t="str">
        <f>'работа 3 добр'!B235</f>
        <v>шт</v>
      </c>
      <c r="E119" s="185">
        <f>'работа 3 добр'!D235</f>
        <v>3.35</v>
      </c>
    </row>
    <row r="120" spans="1:5" x14ac:dyDescent="0.25">
      <c r="A120" s="454"/>
      <c r="B120" s="452"/>
      <c r="C120" s="123" t="str">
        <f>'работа 3 добр'!A236</f>
        <v>светильник точечный</v>
      </c>
      <c r="D120" s="69" t="str">
        <f>'работа 3 добр'!B236</f>
        <v>шт</v>
      </c>
      <c r="E120" s="185">
        <f>'работа 3 добр'!D236</f>
        <v>3.35</v>
      </c>
    </row>
    <row r="121" spans="1:5" x14ac:dyDescent="0.25">
      <c r="A121" s="454"/>
      <c r="B121" s="452"/>
      <c r="C121" s="123" t="str">
        <f>'работа 3 добр'!A237</f>
        <v>светильник точечный</v>
      </c>
      <c r="D121" s="69" t="str">
        <f>'работа 3 добр'!B237</f>
        <v>шт</v>
      </c>
      <c r="E121" s="185">
        <f>'работа 3 добр'!D237</f>
        <v>2.0100000000000002</v>
      </c>
    </row>
    <row r="122" spans="1:5" x14ac:dyDescent="0.25">
      <c r="A122" s="454"/>
      <c r="B122" s="452"/>
      <c r="C122" s="123" t="str">
        <f>'работа 3 добр'!A238</f>
        <v>эмаль аэрозоль</v>
      </c>
      <c r="D122" s="69" t="str">
        <f>'работа 3 добр'!B238</f>
        <v>шт</v>
      </c>
      <c r="E122" s="185">
        <f>'работа 3 добр'!D238</f>
        <v>0.67</v>
      </c>
    </row>
    <row r="123" spans="1:5" x14ac:dyDescent="0.25">
      <c r="A123" s="454"/>
      <c r="B123" s="452"/>
      <c r="C123" s="123" t="str">
        <f>'работа 3 добр'!A239</f>
        <v>пила сегментная</v>
      </c>
      <c r="D123" s="69" t="str">
        <f>'работа 3 добр'!B239</f>
        <v>шт</v>
      </c>
      <c r="E123" s="185">
        <f>'работа 3 добр'!D239</f>
        <v>0.33500000000000002</v>
      </c>
    </row>
    <row r="124" spans="1:5" x14ac:dyDescent="0.25">
      <c r="A124" s="454"/>
      <c r="B124" s="452"/>
      <c r="C124" s="123" t="str">
        <f>'работа 3 добр'!A240</f>
        <v>комплект крепежей для батареи</v>
      </c>
      <c r="D124" s="69" t="str">
        <f>'работа 3 добр'!B240</f>
        <v>шт</v>
      </c>
      <c r="E124" s="185">
        <f>'работа 3 добр'!D240</f>
        <v>1.0050000000000001</v>
      </c>
    </row>
    <row r="125" spans="1:5" x14ac:dyDescent="0.25">
      <c r="A125" s="454"/>
      <c r="B125" s="452"/>
      <c r="C125" s="123" t="str">
        <f>'работа 3 добр'!A241</f>
        <v>набор для радиатора</v>
      </c>
      <c r="D125" s="69" t="str">
        <f>'работа 3 добр'!B241</f>
        <v>шт</v>
      </c>
      <c r="E125" s="185">
        <f>'работа 3 добр'!D241</f>
        <v>1.0050000000000001</v>
      </c>
    </row>
    <row r="126" spans="1:5" x14ac:dyDescent="0.25">
      <c r="A126" s="454"/>
      <c r="B126" s="452"/>
      <c r="C126" s="123" t="str">
        <f>'работа 3 добр'!A242</f>
        <v>лампа "Онлайт"</v>
      </c>
      <c r="D126" s="69" t="str">
        <f>'работа 3 добр'!B242</f>
        <v>шт</v>
      </c>
      <c r="E126" s="185">
        <f>'работа 3 добр'!D242</f>
        <v>1.675</v>
      </c>
    </row>
    <row r="127" spans="1:5" x14ac:dyDescent="0.25">
      <c r="A127" s="454"/>
      <c r="B127" s="452"/>
      <c r="C127" s="123" t="str">
        <f>'работа 3 добр'!A243</f>
        <v>Прожектор светодиодный</v>
      </c>
      <c r="D127" s="69" t="str">
        <f>'работа 3 добр'!B243</f>
        <v>шт</v>
      </c>
      <c r="E127" s="185">
        <f>'работа 3 добр'!D243</f>
        <v>0.67</v>
      </c>
    </row>
    <row r="128" spans="1:5" x14ac:dyDescent="0.25">
      <c r="A128" s="454"/>
      <c r="B128" s="452"/>
      <c r="C128" s="123" t="str">
        <f>'работа 3 добр'!A244</f>
        <v>скотч 48 мм</v>
      </c>
      <c r="D128" s="69" t="str">
        <f>'работа 3 добр'!B244</f>
        <v>шт</v>
      </c>
      <c r="E128" s="185">
        <f>'работа 3 добр'!D244</f>
        <v>4.0200000000000005</v>
      </c>
    </row>
    <row r="129" spans="1:5" x14ac:dyDescent="0.25">
      <c r="A129" s="454"/>
      <c r="B129" s="452"/>
      <c r="C129" s="123" t="str">
        <f>'работа 3 добр'!A245</f>
        <v>скотч армированный</v>
      </c>
      <c r="D129" s="69" t="str">
        <f>'работа 3 добр'!B245</f>
        <v>шт</v>
      </c>
      <c r="E129" s="185">
        <f>'работа 3 добр'!D245</f>
        <v>0.67</v>
      </c>
    </row>
    <row r="130" spans="1:5" x14ac:dyDescent="0.25">
      <c r="A130" s="454"/>
      <c r="B130" s="452"/>
      <c r="C130" s="123" t="str">
        <f>'работа 3 добр'!A246</f>
        <v>эмаль аэрозоль металлик</v>
      </c>
      <c r="D130" s="69" t="str">
        <f>'работа 3 добр'!B246</f>
        <v>шт</v>
      </c>
      <c r="E130" s="185">
        <f>'работа 3 добр'!D246</f>
        <v>0.33500000000000002</v>
      </c>
    </row>
    <row r="131" spans="1:5" x14ac:dyDescent="0.25">
      <c r="A131" s="454"/>
      <c r="B131" s="452"/>
      <c r="C131" s="123" t="str">
        <f>'работа 3 добр'!A247</f>
        <v>эмаль аэрозоль коричн</v>
      </c>
      <c r="D131" s="69" t="str">
        <f>'работа 3 добр'!B247</f>
        <v>шт</v>
      </c>
      <c r="E131" s="185">
        <f>'работа 3 добр'!D247</f>
        <v>0.33500000000000002</v>
      </c>
    </row>
    <row r="132" spans="1:5" x14ac:dyDescent="0.25">
      <c r="A132" s="454"/>
      <c r="B132" s="452"/>
      <c r="C132" s="123" t="str">
        <f>'работа 3 добр'!A248</f>
        <v>эмаль разн цвет</v>
      </c>
      <c r="D132" s="69" t="str">
        <f>'работа 3 добр'!B248</f>
        <v>шт</v>
      </c>
      <c r="E132" s="185">
        <f>'работа 3 добр'!D248</f>
        <v>1.34</v>
      </c>
    </row>
    <row r="133" spans="1:5" x14ac:dyDescent="0.25">
      <c r="A133" s="454"/>
      <c r="B133" s="452"/>
      <c r="C133" s="123" t="str">
        <f>'работа 3 добр'!A249</f>
        <v>скоба</v>
      </c>
      <c r="D133" s="69" t="str">
        <f>'работа 3 добр'!B249</f>
        <v>шт</v>
      </c>
      <c r="E133" s="185">
        <f>'работа 3 добр'!D249</f>
        <v>1.675</v>
      </c>
    </row>
    <row r="134" spans="1:5" x14ac:dyDescent="0.25">
      <c r="A134" s="454"/>
      <c r="B134" s="452"/>
      <c r="C134" s="123" t="str">
        <f>'работа 3 добр'!A250</f>
        <v>стяжка для провода</v>
      </c>
      <c r="D134" s="69" t="str">
        <f>'работа 3 добр'!B250</f>
        <v>шт</v>
      </c>
      <c r="E134" s="185">
        <f>'работа 3 добр'!D250</f>
        <v>0.67</v>
      </c>
    </row>
    <row r="135" spans="1:5" x14ac:dyDescent="0.25">
      <c r="A135" s="454"/>
      <c r="B135" s="452"/>
      <c r="C135" s="123" t="str">
        <f>'работа 3 добр'!A251</f>
        <v>стяжка для провода</v>
      </c>
      <c r="D135" s="69" t="str">
        <f>'работа 3 добр'!B251</f>
        <v>шт</v>
      </c>
      <c r="E135" s="185">
        <f>'работа 3 добр'!D251</f>
        <v>0.67</v>
      </c>
    </row>
    <row r="136" spans="1:5" x14ac:dyDescent="0.25">
      <c r="A136" s="454"/>
      <c r="B136" s="452"/>
      <c r="C136" s="123" t="str">
        <f>'работа 3 добр'!A252</f>
        <v>дюбель</v>
      </c>
      <c r="D136" s="69" t="str">
        <f>'работа 3 добр'!B252</f>
        <v>шт</v>
      </c>
      <c r="E136" s="185">
        <f>'работа 3 добр'!D252</f>
        <v>66.665000000000006</v>
      </c>
    </row>
    <row r="137" spans="1:5" x14ac:dyDescent="0.25">
      <c r="A137" s="454"/>
      <c r="B137" s="452"/>
      <c r="C137" s="123" t="str">
        <f>'работа 3 добр'!A253</f>
        <v>бокорезы</v>
      </c>
      <c r="D137" s="69" t="str">
        <f>'работа 3 добр'!B253</f>
        <v>шт</v>
      </c>
      <c r="E137" s="185">
        <f>'работа 3 добр'!D253</f>
        <v>0.33500000000000002</v>
      </c>
    </row>
    <row r="138" spans="1:5" x14ac:dyDescent="0.25">
      <c r="A138" s="454"/>
      <c r="B138" s="452"/>
      <c r="C138" s="123" t="str">
        <f>'работа 3 добр'!A254</f>
        <v>плоскогубцы</v>
      </c>
      <c r="D138" s="69" t="str">
        <f>'работа 3 добр'!B254</f>
        <v>шт</v>
      </c>
      <c r="E138" s="185">
        <f>'работа 3 добр'!D254</f>
        <v>0.33500000000000002</v>
      </c>
    </row>
    <row r="139" spans="1:5" x14ac:dyDescent="0.25">
      <c r="A139" s="454"/>
      <c r="B139" s="452"/>
      <c r="C139" s="123" t="str">
        <f>'работа 3 добр'!A255</f>
        <v>бита</v>
      </c>
      <c r="D139" s="69" t="str">
        <f>'работа 3 добр'!B255</f>
        <v>шт</v>
      </c>
      <c r="E139" s="185">
        <f>'работа 3 добр'!D255</f>
        <v>0.33500000000000002</v>
      </c>
    </row>
    <row r="140" spans="1:5" x14ac:dyDescent="0.25">
      <c r="A140" s="454"/>
      <c r="B140" s="452"/>
      <c r="C140" s="123" t="str">
        <f>'работа 3 добр'!A256</f>
        <v>бита</v>
      </c>
      <c r="D140" s="69" t="str">
        <f>'работа 3 добр'!B256</f>
        <v>шт</v>
      </c>
      <c r="E140" s="185">
        <f>'работа 3 добр'!D256</f>
        <v>0.33500000000000002</v>
      </c>
    </row>
    <row r="141" spans="1:5" x14ac:dyDescent="0.25">
      <c r="A141" s="454"/>
      <c r="B141" s="452"/>
      <c r="C141" s="123" t="str">
        <f>'работа 3 добр'!A257</f>
        <v>угольник</v>
      </c>
      <c r="D141" s="69" t="str">
        <f>'работа 3 добр'!B257</f>
        <v>шт</v>
      </c>
      <c r="E141" s="185">
        <f>'работа 3 добр'!D257</f>
        <v>0.33500000000000002</v>
      </c>
    </row>
    <row r="142" spans="1:5" x14ac:dyDescent="0.25">
      <c r="A142" s="454"/>
      <c r="B142" s="452"/>
      <c r="C142" s="123" t="str">
        <f>'работа 3 добр'!A258</f>
        <v>угольник</v>
      </c>
      <c r="D142" s="69" t="str">
        <f>'работа 3 добр'!B258</f>
        <v>шт</v>
      </c>
      <c r="E142" s="185">
        <f>'работа 3 добр'!D258</f>
        <v>0.33500000000000002</v>
      </c>
    </row>
    <row r="143" spans="1:5" x14ac:dyDescent="0.25">
      <c r="A143" s="454"/>
      <c r="B143" s="452"/>
      <c r="C143" s="123" t="str">
        <f>'работа 3 добр'!A259</f>
        <v>штангенциркуль</v>
      </c>
      <c r="D143" s="69" t="str">
        <f>'работа 3 добр'!B259</f>
        <v>шт</v>
      </c>
      <c r="E143" s="185">
        <f>'работа 3 добр'!D259</f>
        <v>0.33500000000000002</v>
      </c>
    </row>
    <row r="144" spans="1:5" x14ac:dyDescent="0.25">
      <c r="A144" s="454"/>
      <c r="B144" s="452"/>
      <c r="C144" s="123" t="str">
        <f>'работа 3 добр'!A260</f>
        <v>пугнп 2*1,5</v>
      </c>
      <c r="D144" s="69" t="str">
        <f>'работа 3 добр'!B260</f>
        <v>шт</v>
      </c>
      <c r="E144" s="185">
        <f>'работа 3 добр'!D260</f>
        <v>67</v>
      </c>
    </row>
    <row r="145" spans="1:5" x14ac:dyDescent="0.25">
      <c r="A145" s="454"/>
      <c r="B145" s="452"/>
      <c r="C145" s="123" t="str">
        <f>'работа 3 добр'!A261</f>
        <v>пугнп 2*2,5</v>
      </c>
      <c r="D145" s="69" t="str">
        <f>'работа 3 добр'!B261</f>
        <v>шт</v>
      </c>
      <c r="E145" s="185">
        <f>'работа 3 добр'!D261</f>
        <v>67</v>
      </c>
    </row>
    <row r="146" spans="1:5" x14ac:dyDescent="0.25">
      <c r="A146" s="454"/>
      <c r="B146" s="452"/>
      <c r="C146" s="123" t="str">
        <f>'работа 3 добр'!A262</f>
        <v>зажимы</v>
      </c>
      <c r="D146" s="69" t="str">
        <f>'работа 3 добр'!B262</f>
        <v>шт</v>
      </c>
      <c r="E146" s="185">
        <f>'работа 3 добр'!D262</f>
        <v>1.675</v>
      </c>
    </row>
    <row r="147" spans="1:5" x14ac:dyDescent="0.25">
      <c r="A147" s="454"/>
      <c r="B147" s="452"/>
      <c r="C147" s="123" t="str">
        <f>'работа 3 добр'!A263</f>
        <v>коробка установочная</v>
      </c>
      <c r="D147" s="69" t="str">
        <f>'работа 3 добр'!B263</f>
        <v>шт</v>
      </c>
      <c r="E147" s="185">
        <f>'работа 3 добр'!D263</f>
        <v>3.35</v>
      </c>
    </row>
    <row r="148" spans="1:5" x14ac:dyDescent="0.25">
      <c r="A148" s="454"/>
      <c r="B148" s="452"/>
      <c r="C148" s="123" t="str">
        <f>'работа 3 добр'!A264</f>
        <v>розетка</v>
      </c>
      <c r="D148" s="69" t="str">
        <f>'работа 3 добр'!B264</f>
        <v>шт</v>
      </c>
      <c r="E148" s="185">
        <f>'работа 3 добр'!D264</f>
        <v>3.35</v>
      </c>
    </row>
    <row r="149" spans="1:5" x14ac:dyDescent="0.25">
      <c r="A149" s="454"/>
      <c r="B149" s="452"/>
      <c r="C149" s="123" t="str">
        <f>'работа 3 добр'!A265</f>
        <v>розетка</v>
      </c>
      <c r="D149" s="69" t="str">
        <f>'работа 3 добр'!B265</f>
        <v>шт</v>
      </c>
      <c r="E149" s="185">
        <f>'работа 3 добр'!D265</f>
        <v>1.675</v>
      </c>
    </row>
    <row r="150" spans="1:5" x14ac:dyDescent="0.25">
      <c r="A150" s="454"/>
      <c r="B150" s="452"/>
      <c r="C150" s="123" t="str">
        <f>'работа 3 добр'!A266</f>
        <v>вилка прямая</v>
      </c>
      <c r="D150" s="69" t="str">
        <f>'работа 3 добр'!B266</f>
        <v>шт</v>
      </c>
      <c r="E150" s="185">
        <f>'работа 3 добр'!D266</f>
        <v>0.33500000000000002</v>
      </c>
    </row>
    <row r="151" spans="1:5" x14ac:dyDescent="0.25">
      <c r="A151" s="454"/>
      <c r="B151" s="452"/>
      <c r="C151" s="123" t="str">
        <f>'работа 3 добр'!A267</f>
        <v>вилка белая</v>
      </c>
      <c r="D151" s="69" t="str">
        <f>'работа 3 добр'!B267</f>
        <v>шт</v>
      </c>
      <c r="E151" s="185">
        <f>'работа 3 добр'!D267</f>
        <v>1.34</v>
      </c>
    </row>
    <row r="152" spans="1:5" x14ac:dyDescent="0.25">
      <c r="A152" s="454"/>
      <c r="B152" s="452"/>
      <c r="C152" s="123" t="str">
        <f>'работа 3 добр'!A268</f>
        <v>саморез 3,5*51</v>
      </c>
      <c r="D152" s="69" t="str">
        <f>'работа 3 добр'!B268</f>
        <v>шт</v>
      </c>
      <c r="E152" s="185">
        <f>'работа 3 добр'!D268</f>
        <v>244.55</v>
      </c>
    </row>
    <row r="153" spans="1:5" x14ac:dyDescent="0.25">
      <c r="A153" s="454"/>
      <c r="B153" s="452"/>
      <c r="C153" s="123" t="str">
        <f>'работа 3 добр'!A269</f>
        <v>саморез 4,2*70</v>
      </c>
      <c r="D153" s="69" t="str">
        <f>'работа 3 добр'!B269</f>
        <v>шт</v>
      </c>
      <c r="E153" s="185">
        <f>'работа 3 добр'!D269</f>
        <v>301.5</v>
      </c>
    </row>
    <row r="154" spans="1:5" x14ac:dyDescent="0.25">
      <c r="A154" s="454"/>
      <c r="B154" s="452"/>
      <c r="C154" s="123" t="str">
        <f>'работа 3 добр'!A270</f>
        <v>набор пилок</v>
      </c>
      <c r="D154" s="69" t="str">
        <f>'работа 3 добр'!B270</f>
        <v>шт</v>
      </c>
      <c r="E154" s="185">
        <f>'работа 3 добр'!D270</f>
        <v>1.0050000000000001</v>
      </c>
    </row>
    <row r="155" spans="1:5" x14ac:dyDescent="0.25">
      <c r="A155" s="454"/>
      <c r="B155" s="452"/>
      <c r="C155" s="123" t="str">
        <f>'работа 3 добр'!A271</f>
        <v>комплект радиатора</v>
      </c>
      <c r="D155" s="69" t="str">
        <f>'работа 3 добр'!B271</f>
        <v>шт</v>
      </c>
      <c r="E155" s="185">
        <f>'работа 3 добр'!D271</f>
        <v>3.35</v>
      </c>
    </row>
    <row r="156" spans="1:5" x14ac:dyDescent="0.25">
      <c r="A156" s="454"/>
      <c r="B156" s="452"/>
      <c r="C156" s="123" t="str">
        <f>'работа 3 добр'!A272</f>
        <v>кран шаровый</v>
      </c>
      <c r="D156" s="69" t="str">
        <f>'работа 3 добр'!B272</f>
        <v>шт</v>
      </c>
      <c r="E156" s="185">
        <f>'работа 3 добр'!D272</f>
        <v>6.7</v>
      </c>
    </row>
    <row r="157" spans="1:5" x14ac:dyDescent="0.25">
      <c r="A157" s="454"/>
      <c r="B157" s="452"/>
      <c r="C157" s="123" t="str">
        <f>'работа 3 добр'!A273</f>
        <v>Лопата</v>
      </c>
      <c r="D157" s="69" t="str">
        <f>'работа 3 добр'!B273</f>
        <v>шт</v>
      </c>
      <c r="E157" s="185">
        <f>'работа 3 добр'!D273</f>
        <v>0.33500000000000002</v>
      </c>
    </row>
    <row r="158" spans="1:5" x14ac:dyDescent="0.25">
      <c r="A158" s="454"/>
      <c r="B158" s="452"/>
      <c r="C158" s="123" t="str">
        <f>'работа 3 добр'!A274</f>
        <v>Пружина</v>
      </c>
      <c r="D158" s="69" t="str">
        <f>'работа 3 добр'!B274</f>
        <v>шт</v>
      </c>
      <c r="E158" s="185">
        <f>'работа 3 добр'!D274</f>
        <v>8.375</v>
      </c>
    </row>
    <row r="159" spans="1:5" x14ac:dyDescent="0.25">
      <c r="A159" s="454"/>
      <c r="B159" s="452"/>
      <c r="C159" s="123" t="str">
        <f>'работа 3 добр'!A275</f>
        <v>ГСМ 12,1457л.*247дней*44,27 руб.</v>
      </c>
      <c r="D159" s="69" t="str">
        <f>'работа 3 добр'!B275</f>
        <v>шт</v>
      </c>
      <c r="E159" s="185">
        <f>'работа 3 добр'!D275</f>
        <v>414.77689999999996</v>
      </c>
    </row>
    <row r="160" spans="1:5" x14ac:dyDescent="0.25">
      <c r="A160" s="454"/>
      <c r="B160" s="452"/>
      <c r="C160" s="123" t="str">
        <f>'работа 3 добр'!A276</f>
        <v>Чехол для кресла-мешка</v>
      </c>
      <c r="D160" s="69" t="str">
        <f>'работа 3 добр'!B276</f>
        <v>шт</v>
      </c>
      <c r="E160" s="185">
        <f>'работа 3 добр'!D276</f>
        <v>2.0100000000000002</v>
      </c>
    </row>
    <row r="161" spans="1:5" x14ac:dyDescent="0.25">
      <c r="A161" s="454"/>
      <c r="B161" s="452"/>
      <c r="C161" s="123" t="str">
        <f>'работа 3 добр'!A277</f>
        <v>Наполнитель для кресла-мешка</v>
      </c>
      <c r="D161" s="69" t="str">
        <f>'работа 3 добр'!B277</f>
        <v>шт</v>
      </c>
      <c r="E161" s="185">
        <f>'работа 3 добр'!D277</f>
        <v>0.67</v>
      </c>
    </row>
    <row r="162" spans="1:5" ht="15" customHeight="1" x14ac:dyDescent="0.25">
      <c r="A162" s="454"/>
      <c r="B162" s="452"/>
      <c r="C162" s="123" t="str">
        <f>'работа 3 добр'!A278</f>
        <v>Фотобумага IST глянцевая 100 листов односторонняя 230гр/м</v>
      </c>
      <c r="D162" s="69" t="str">
        <f>'работа 3 добр'!B278</f>
        <v>шт</v>
      </c>
      <c r="E162" s="185">
        <f>'работа 3 добр'!D278</f>
        <v>3.35</v>
      </c>
    </row>
    <row r="163" spans="1:5" ht="15" customHeight="1" x14ac:dyDescent="0.25">
      <c r="A163" s="454"/>
      <c r="B163" s="452"/>
      <c r="C163" s="123" t="str">
        <f>'работа 3 добр'!A279</f>
        <v>Фотобумага IST глянцевая 100 листов односторонняя 180гр/м</v>
      </c>
      <c r="D163" s="69" t="str">
        <f>'работа 3 добр'!B279</f>
        <v>шт</v>
      </c>
      <c r="E163" s="185">
        <f>'работа 3 добр'!D279</f>
        <v>3.35</v>
      </c>
    </row>
    <row r="164" spans="1:5" ht="15" customHeight="1" x14ac:dyDescent="0.25">
      <c r="A164" s="454"/>
      <c r="B164" s="452"/>
      <c r="C164" s="123" t="str">
        <f>'работа 3 добр'!A280</f>
        <v>Фотобумага IST глянцевая 100 листов односторонняя 190гр/м</v>
      </c>
      <c r="D164" s="69" t="str">
        <f>'работа 3 добр'!B280</f>
        <v>шт</v>
      </c>
      <c r="E164" s="185">
        <f>'работа 3 добр'!D280</f>
        <v>6.7</v>
      </c>
    </row>
    <row r="165" spans="1:5" x14ac:dyDescent="0.25">
      <c r="A165" s="454"/>
      <c r="B165" s="452"/>
      <c r="C165" s="123" t="str">
        <f>'работа 3 добр'!A281</f>
        <v>Тонер ECOSYS</v>
      </c>
      <c r="D165" s="69" t="str">
        <f>'работа 3 добр'!B281</f>
        <v>шт</v>
      </c>
      <c r="E165" s="185">
        <f>'работа 3 добр'!D281</f>
        <v>0.67</v>
      </c>
    </row>
    <row r="166" spans="1:5" x14ac:dyDescent="0.25">
      <c r="A166" s="454"/>
      <c r="B166" s="452"/>
      <c r="C166" s="123" t="str">
        <f>'работа 3 добр'!A282</f>
        <v>Картридж НР С2Р42АЕ</v>
      </c>
      <c r="D166" s="69" t="str">
        <f>'работа 3 добр'!B282</f>
        <v>шт</v>
      </c>
      <c r="E166" s="185">
        <f>'работа 3 добр'!D282</f>
        <v>0.67</v>
      </c>
    </row>
    <row r="167" spans="1:5" x14ac:dyDescent="0.25">
      <c r="A167" s="454"/>
      <c r="B167" s="452"/>
      <c r="C167" s="123" t="str">
        <f>'работа 3 добр'!A283</f>
        <v>Аккумулятор X-TREME Arctik  78.1</v>
      </c>
      <c r="D167" s="69" t="str">
        <f>'работа 3 добр'!B283</f>
        <v>шт</v>
      </c>
      <c r="E167" s="185">
        <f>'работа 3 добр'!D283</f>
        <v>0.33500000000000002</v>
      </c>
    </row>
    <row r="168" spans="1:5" ht="15" customHeight="1" x14ac:dyDescent="0.25">
      <c r="A168" s="454"/>
      <c r="B168" s="452"/>
      <c r="C168" s="123" t="str">
        <f>'работа 3 добр'!A284</f>
        <v>Амортизатор УАЗ 3159 задн. TRIALLI газомасл.3159-2915006 (3159-2915006)</v>
      </c>
      <c r="D168" s="69" t="str">
        <f>'работа 3 добр'!B284</f>
        <v>шт</v>
      </c>
      <c r="E168" s="185">
        <f>'работа 3 добр'!D284</f>
        <v>1.34</v>
      </c>
    </row>
    <row r="169" spans="1:5" x14ac:dyDescent="0.25">
      <c r="A169" s="454"/>
      <c r="B169" s="452"/>
      <c r="C169" s="123" t="str">
        <f>'работа 3 добр'!A285</f>
        <v>Болт М10*1*25 кардана УАЗ в/сб(уп. 20 шт)</v>
      </c>
      <c r="D169" s="69" t="str">
        <f>'работа 3 добр'!B285</f>
        <v>шт</v>
      </c>
      <c r="E169" s="185">
        <f>'работа 3 добр'!D285</f>
        <v>5.36</v>
      </c>
    </row>
    <row r="170" spans="1:5" ht="15" customHeight="1" x14ac:dyDescent="0.25">
      <c r="A170" s="454"/>
      <c r="B170" s="452"/>
      <c r="C170" s="123" t="str">
        <f>'работа 3 добр'!A286</f>
        <v>Винт М8*1,25*12 потай шлиц.торм.барабана Волга Г-2410 290605 (290605-п29)</v>
      </c>
      <c r="D170" s="69" t="str">
        <f>'работа 3 добр'!B286</f>
        <v>шт</v>
      </c>
      <c r="E170" s="185">
        <f>'работа 3 добр'!D286</f>
        <v>8.0400000000000009</v>
      </c>
    </row>
    <row r="171" spans="1:5" ht="15" customHeight="1" x14ac:dyDescent="0.25">
      <c r="A171" s="454"/>
      <c r="B171" s="452"/>
      <c r="C171" s="123" t="str">
        <f>'работа 3 добр'!A287</f>
        <v>Вкладыш шкворня УАЗ-3160(латунь н/о 2 усика)3160 2304023-10 (3160 2304023-10)</v>
      </c>
      <c r="D171" s="69" t="str">
        <f>'работа 3 добр'!B287</f>
        <v>шт</v>
      </c>
      <c r="E171" s="185">
        <f>'работа 3 добр'!D287</f>
        <v>2.68</v>
      </c>
    </row>
    <row r="172" spans="1:5" ht="15" customHeight="1" x14ac:dyDescent="0.25">
      <c r="A172" s="454"/>
      <c r="B172" s="452"/>
      <c r="C172" s="123" t="str">
        <f>'работа 3 добр'!A288</f>
        <v>Втулка амортизатора Волга ,УАЗ полиуретан 451-2905432 (451-2905432)</v>
      </c>
      <c r="D172" s="69" t="str">
        <f>'работа 3 добр'!B288</f>
        <v>шт</v>
      </c>
      <c r="E172" s="185">
        <f>'работа 3 добр'!D288</f>
        <v>6.7</v>
      </c>
    </row>
    <row r="173" spans="1:5" ht="15" customHeight="1" x14ac:dyDescent="0.25">
      <c r="A173" s="454"/>
      <c r="B173" s="452"/>
      <c r="C173" s="123" t="str">
        <f>'работа 3 добр'!A289</f>
        <v>Гайка колесная  М14*1,5 (18, ключ 22) Волга, Соболь, УАЗ</v>
      </c>
      <c r="D173" s="69" t="str">
        <f>'работа 3 добр'!B289</f>
        <v>шт</v>
      </c>
      <c r="E173" s="185">
        <f>'работа 3 добр'!D289</f>
        <v>6.7</v>
      </c>
    </row>
    <row r="174" spans="1:5" ht="15" customHeight="1" x14ac:dyDescent="0.25">
      <c r="A174" s="454"/>
      <c r="B174" s="452"/>
      <c r="C174" s="123" t="str">
        <f>'работа 3 добр'!A290</f>
        <v>Катушка зажигания 405 дв.(АТЭ-1)3032.3705 (3032.3705)</v>
      </c>
      <c r="D174" s="69" t="str">
        <f>'работа 3 добр'!B290</f>
        <v>шт</v>
      </c>
      <c r="E174" s="185">
        <f>'работа 3 добр'!D290</f>
        <v>1.34</v>
      </c>
    </row>
    <row r="175" spans="1:5" ht="15" customHeight="1" x14ac:dyDescent="0.25">
      <c r="A175" s="454"/>
      <c r="B175" s="452"/>
      <c r="C175" s="123" t="str">
        <f>'работа 3 добр'!A291</f>
        <v>Колодка переднего тормоза (к-т 4 шт.)УАЗ Оригинал(ТИИР) 3163 3501088 (3163 3501088)</v>
      </c>
      <c r="D175" s="69" t="str">
        <f>'работа 3 добр'!B291</f>
        <v>шт</v>
      </c>
      <c r="E175" s="185">
        <f>'работа 3 добр'!D291</f>
        <v>1.34</v>
      </c>
    </row>
    <row r="176" spans="1:5" x14ac:dyDescent="0.25">
      <c r="A176" s="454"/>
      <c r="B176" s="452"/>
      <c r="C176" s="123" t="str">
        <f>'работа 3 добр'!A292</f>
        <v>Кольцо крестовины карданного вала</v>
      </c>
      <c r="D176" s="69" t="str">
        <f>'работа 3 добр'!B292</f>
        <v>шт</v>
      </c>
      <c r="E176" s="185">
        <f>'работа 3 добр'!D292</f>
        <v>2.68</v>
      </c>
    </row>
    <row r="177" spans="1:5" ht="15" customHeight="1" x14ac:dyDescent="0.25">
      <c r="A177" s="454"/>
      <c r="B177" s="452"/>
      <c r="C177" s="123" t="str">
        <f>'работа 3 добр'!A293</f>
        <v>Комплект ГРМ(полный)ЗМЗ 405-409 ЕВРО-3 "Идеальная фаза"(двухрядная цепь 72/92 Ditton)406.3906625-05 (406.3906625-05)</v>
      </c>
      <c r="D177" s="69" t="str">
        <f>'работа 3 добр'!B293</f>
        <v>шт</v>
      </c>
      <c r="E177" s="185">
        <f>'работа 3 добр'!D293</f>
        <v>0.33500000000000002</v>
      </c>
    </row>
    <row r="178" spans="1:5" ht="15" customHeight="1" x14ac:dyDescent="0.25">
      <c r="A178" s="454"/>
      <c r="B178" s="452"/>
      <c r="C178" s="123" t="str">
        <f>'работа 3 добр'!A294</f>
        <v>Комплект прокладок на дв.4091 Саморим УАЗ 452</v>
      </c>
      <c r="D178" s="69" t="str">
        <f>'работа 3 добр'!B294</f>
        <v>шт</v>
      </c>
      <c r="E178" s="185">
        <f>'работа 3 добр'!D294</f>
        <v>0.33500000000000002</v>
      </c>
    </row>
    <row r="179" spans="1:5" ht="15" customHeight="1" x14ac:dyDescent="0.25">
      <c r="A179" s="454"/>
      <c r="B179" s="452"/>
      <c r="C179" s="123" t="str">
        <f>'работа 3 добр'!A295</f>
        <v>Крестовина кардан.вала УАЗ(АДС)с масленкой и стопорными кольцами 42000.0469-2201025-00 (ВК469-2201025)</v>
      </c>
      <c r="D179" s="69" t="str">
        <f>'работа 3 добр'!B295</f>
        <v>шт</v>
      </c>
      <c r="E179" s="185">
        <f>'работа 3 добр'!D295</f>
        <v>1.34</v>
      </c>
    </row>
    <row r="180" spans="1:5" x14ac:dyDescent="0.25">
      <c r="A180" s="454"/>
      <c r="B180" s="452"/>
      <c r="C180" s="123" t="str">
        <f>'работа 3 добр'!A296</f>
        <v>Накладка педали сцепления УАЗ 2206</v>
      </c>
      <c r="D180" s="69" t="str">
        <f>'работа 3 добр'!B296</f>
        <v>шт</v>
      </c>
      <c r="E180" s="185">
        <f>'работа 3 добр'!D296</f>
        <v>0.33500000000000002</v>
      </c>
    </row>
    <row r="181" spans="1:5" ht="15" customHeight="1" x14ac:dyDescent="0.25">
      <c r="A181" s="454"/>
      <c r="B181" s="452"/>
      <c r="C181" s="123" t="str">
        <f>'работа 3 добр'!A297</f>
        <v>Наконечник рулевой тяги левый "АДС-Expert" 469-3414057-01 (469-3414057-01)</v>
      </c>
      <c r="D181" s="69" t="str">
        <f>'работа 3 добр'!B297</f>
        <v>шт</v>
      </c>
      <c r="E181" s="185">
        <f>'работа 3 добр'!D297</f>
        <v>0.67</v>
      </c>
    </row>
    <row r="182" spans="1:5" ht="15" customHeight="1" x14ac:dyDescent="0.25">
      <c r="A182" s="454"/>
      <c r="B182" s="452"/>
      <c r="C182" s="123" t="str">
        <f>'работа 3 добр'!A298</f>
        <v>Наконечник рулевой тяги правый "АДС-Expert" 469-3414056-01 (469-3414056-01)</v>
      </c>
      <c r="D182" s="69" t="str">
        <f>'работа 3 добр'!B298</f>
        <v>шт</v>
      </c>
      <c r="E182" s="185">
        <f>'работа 3 добр'!D298</f>
        <v>2.0100000000000002</v>
      </c>
    </row>
    <row r="183" spans="1:5" ht="15" customHeight="1" x14ac:dyDescent="0.25">
      <c r="A183" s="454"/>
      <c r="B183" s="452"/>
      <c r="C183" s="123" t="str">
        <f>'работа 3 добр'!A299</f>
        <v>Патрубки радиатора УАЗ Патриот 409дв.без кондиционера(силикон)(к-т 3шт)</v>
      </c>
      <c r="D183" s="69" t="str">
        <f>'работа 3 добр'!B299</f>
        <v>шт</v>
      </c>
      <c r="E183" s="185">
        <f>'работа 3 добр'!D299</f>
        <v>0.33500000000000002</v>
      </c>
    </row>
    <row r="184" spans="1:5" x14ac:dyDescent="0.25">
      <c r="A184" s="454"/>
      <c r="B184" s="452"/>
      <c r="C184" s="123" t="str">
        <f>'работа 3 добр'!A300</f>
        <v>Подшипник ступичный 127509</v>
      </c>
      <c r="D184" s="69" t="str">
        <f>'работа 3 добр'!B300</f>
        <v>шт</v>
      </c>
      <c r="E184" s="185">
        <f>'работа 3 добр'!D300</f>
        <v>2.68</v>
      </c>
    </row>
    <row r="185" spans="1:5" ht="15" customHeight="1" x14ac:dyDescent="0.25">
      <c r="A185" s="454"/>
      <c r="B185" s="452"/>
      <c r="C185" s="123" t="str">
        <f>'работа 3 добр'!A301</f>
        <v>Провода в/в 4091 дв.с наконеч.силикон.4091-3707244 (4091-3707244)</v>
      </c>
      <c r="D185" s="69" t="str">
        <f>'работа 3 добр'!B301</f>
        <v>шт</v>
      </c>
      <c r="E185" s="185">
        <f>'работа 3 добр'!D301</f>
        <v>0.67</v>
      </c>
    </row>
    <row r="186" spans="1:5" ht="15" customHeight="1" x14ac:dyDescent="0.25">
      <c r="A186" s="454"/>
      <c r="B186" s="452"/>
      <c r="C186" s="123" t="str">
        <f>'работа 3 добр'!A302</f>
        <v>Прокладка крышки полуоси(паронит)3151-2407048 (3151-2407048)</v>
      </c>
      <c r="D186" s="69" t="str">
        <f>'работа 3 добр'!B302</f>
        <v>шт</v>
      </c>
      <c r="E186" s="185">
        <f>'работа 3 добр'!D302</f>
        <v>3.35</v>
      </c>
    </row>
    <row r="187" spans="1:5" ht="15" customHeight="1" x14ac:dyDescent="0.25">
      <c r="A187" s="454"/>
      <c r="B187" s="452"/>
      <c r="C187" s="123" t="str">
        <f>'работа 3 добр'!A303</f>
        <v>Ремень (1275  мм 6РК) ЗМЗ-40524, 40525 ЕВРО -3 без ГУР "LUZAR" (40624 1308020-01)</v>
      </c>
      <c r="D187" s="69" t="str">
        <f>'работа 3 добр'!B303</f>
        <v>шт</v>
      </c>
      <c r="E187" s="185">
        <f>'работа 3 добр'!D303</f>
        <v>1.0050000000000001</v>
      </c>
    </row>
    <row r="188" spans="1:5" ht="15" customHeight="1" x14ac:dyDescent="0.25">
      <c r="A188" s="454"/>
      <c r="B188" s="452"/>
      <c r="C188" s="123" t="str">
        <f>'работа 3 добр'!A304</f>
        <v>Ремень 1195 - 6 РК привода ГУР "OLEX POLY V BELT"3163-00-1308020-02 (3163-00-1308020-02)</v>
      </c>
      <c r="D188" s="69" t="str">
        <f>'работа 3 добр'!B304</f>
        <v>шт</v>
      </c>
      <c r="E188" s="185">
        <f>'работа 3 добр'!D304</f>
        <v>1.0050000000000001</v>
      </c>
    </row>
    <row r="189" spans="1:5" ht="15" customHeight="1" x14ac:dyDescent="0.25">
      <c r="A189" s="454"/>
      <c r="B189" s="452"/>
      <c r="C189" s="123" t="str">
        <f>'работа 3 добр'!A305</f>
        <v>Ремень буксировочный 6/9т 6м (а/м до 3т)  Крюк/Крюк +сумка(олива) Tplus</v>
      </c>
      <c r="D189" s="69" t="str">
        <f>'работа 3 добр'!B305</f>
        <v>шт</v>
      </c>
      <c r="E189" s="185">
        <f>'работа 3 добр'!D305</f>
        <v>0.33500000000000002</v>
      </c>
    </row>
    <row r="190" spans="1:5" ht="15" customHeight="1" x14ac:dyDescent="0.25">
      <c r="A190" s="454"/>
      <c r="B190" s="452"/>
      <c r="C190" s="123" t="str">
        <f>'работа 3 добр'!A306</f>
        <v>Ремкомплект поворотного кулака УАЗ мост Спайсер с полиуретановым сальником 3160-2304052 (3160-2304052)</v>
      </c>
      <c r="D190" s="69" t="str">
        <f>'работа 3 добр'!B306</f>
        <v>шт</v>
      </c>
      <c r="E190" s="185">
        <f>'работа 3 добр'!D306</f>
        <v>1.34</v>
      </c>
    </row>
    <row r="191" spans="1:5" ht="15" customHeight="1" x14ac:dyDescent="0.25">
      <c r="A191" s="454"/>
      <c r="B191" s="452"/>
      <c r="C191" s="123" t="str">
        <f>'работа 3 добр'!A307</f>
        <v>Ремкомплект шкворня УАЗ Хантер,Патриот мост Спайсер н/о(2 уса) с вкладышами)"Ваксойл"3163-230401 (3163-230401)</v>
      </c>
      <c r="D191" s="69" t="str">
        <f>'работа 3 добр'!B307</f>
        <v>шт</v>
      </c>
      <c r="E191" s="185">
        <f>'работа 3 добр'!D307</f>
        <v>0.67</v>
      </c>
    </row>
    <row r="192" spans="1:5" ht="15" customHeight="1" x14ac:dyDescent="0.25">
      <c r="A192" s="454"/>
      <c r="B192" s="452"/>
      <c r="C192" s="123" t="str">
        <f>'работа 3 добр'!A308</f>
        <v>Сайлентблок передней подвески УАЗ резинометаллический (малый) 3160-2909027 (3160-2909027)</v>
      </c>
      <c r="D192" s="69" t="str">
        <f>'работа 3 добр'!B308</f>
        <v>шт</v>
      </c>
      <c r="E192" s="185">
        <f>'работа 3 добр'!D308</f>
        <v>2.0100000000000002</v>
      </c>
    </row>
    <row r="193" spans="1:5" ht="15" customHeight="1" x14ac:dyDescent="0.25">
      <c r="A193" s="454"/>
      <c r="B193" s="452"/>
      <c r="C193" s="123" t="str">
        <f>'работа 3 добр'!A309</f>
        <v>Сайлентблок рессоры УАЗ-Патриот 3163(завод)3163-2912020 (3163-2912020)</v>
      </c>
      <c r="D193" s="69" t="str">
        <f>'работа 3 добр'!B309</f>
        <v>шт</v>
      </c>
      <c r="E193" s="185">
        <f>'работа 3 добр'!D309</f>
        <v>2.68</v>
      </c>
    </row>
    <row r="194" spans="1:5" ht="15" customHeight="1" x14ac:dyDescent="0.25">
      <c r="A194" s="454"/>
      <c r="B194" s="452"/>
      <c r="C194" s="123" t="str">
        <f>'работа 3 добр'!A310</f>
        <v>Сальник (55х70х8) коленвала передний 406дв."Кортеко"(Германия)406.1005034-02 (406.1005034-02)</v>
      </c>
      <c r="D194" s="69" t="str">
        <f>'работа 3 добр'!B310</f>
        <v>шт</v>
      </c>
      <c r="E194" s="185">
        <f>'работа 3 добр'!D310</f>
        <v>0.67</v>
      </c>
    </row>
    <row r="195" spans="1:5" ht="15" customHeight="1" x14ac:dyDescent="0.25">
      <c r="A195" s="454"/>
      <c r="B195" s="452"/>
      <c r="C195" s="123" t="str">
        <f>'работа 3 добр'!A311</f>
        <v>Сальник (60х85х10) ступицы  NAK International 3741-3103038 (3741-3103038)</v>
      </c>
      <c r="D195" s="69" t="str">
        <f>'работа 3 добр'!B311</f>
        <v>шт</v>
      </c>
      <c r="E195" s="185">
        <f>'работа 3 добр'!D311</f>
        <v>8.0400000000000009</v>
      </c>
    </row>
    <row r="196" spans="1:5" ht="15" customHeight="1" x14ac:dyDescent="0.25">
      <c r="A196" s="454"/>
      <c r="B196" s="452"/>
      <c r="C196" s="123" t="str">
        <f>'работа 3 добр'!A312</f>
        <v>Сальник к/вала задний 100л.с. 80х100х10(NAK intarnational)</v>
      </c>
      <c r="D196" s="69" t="str">
        <f>'работа 3 добр'!B312</f>
        <v>шт</v>
      </c>
      <c r="E196" s="185">
        <f>'работа 3 добр'!D312</f>
        <v>0.67</v>
      </c>
    </row>
    <row r="197" spans="1:5" ht="15" customHeight="1" x14ac:dyDescent="0.25">
      <c r="A197" s="454"/>
      <c r="B197" s="452"/>
      <c r="C197" s="123" t="str">
        <f>'работа 3 добр'!A313</f>
        <v>Сальник хвостовика 42х68х 10/14,5 усиленный "NAK"3741-00-1701210-03 (3741-00-1701210-03)</v>
      </c>
      <c r="D197" s="69" t="str">
        <f>'работа 3 добр'!B313</f>
        <v>шт</v>
      </c>
      <c r="E197" s="185">
        <f>'работа 3 добр'!D313</f>
        <v>2.68</v>
      </c>
    </row>
    <row r="198" spans="1:5" ht="15" customHeight="1" x14ac:dyDescent="0.25">
      <c r="A198" s="454"/>
      <c r="B198" s="452"/>
      <c r="C198" s="123" t="str">
        <f>'работа 3 добр'!A314</f>
        <v>Сальник шруса (в мет. обойме)(32х50х10)(19000078)3741-2304071 (3741-2304071)</v>
      </c>
      <c r="D198" s="69" t="str">
        <f>'работа 3 добр'!B314</f>
        <v>шт</v>
      </c>
      <c r="E198" s="185">
        <f>'работа 3 добр'!D314</f>
        <v>1.34</v>
      </c>
    </row>
    <row r="199" spans="1:5" ht="15" customHeight="1" x14ac:dyDescent="0.25">
      <c r="A199" s="454"/>
      <c r="B199" s="452"/>
      <c r="C199" s="123" t="str">
        <f>'работа 3 добр'!A315</f>
        <v>Свеча зажигания DENSO  Q16ТТ#4  4607#4 (1 шт.)</v>
      </c>
      <c r="D199" s="69" t="str">
        <f>'работа 3 добр'!B315</f>
        <v>шт</v>
      </c>
      <c r="E199" s="185">
        <f>'работа 3 добр'!D315</f>
        <v>2.68</v>
      </c>
    </row>
    <row r="200" spans="1:5" ht="15" customHeight="1" x14ac:dyDescent="0.25">
      <c r="A200" s="454"/>
      <c r="B200" s="452"/>
      <c r="C200" s="123" t="str">
        <f>'работа 3 добр'!A316</f>
        <v>Скоба омегообр. с резьбой г/п 2,0т тип G 209 ХЛ</v>
      </c>
      <c r="D200" s="69" t="str">
        <f>'работа 3 добр'!B316</f>
        <v>шт</v>
      </c>
      <c r="E200" s="185">
        <f>'работа 3 добр'!D316</f>
        <v>0.33500000000000002</v>
      </c>
    </row>
    <row r="201" spans="1:5" ht="15" customHeight="1" x14ac:dyDescent="0.25">
      <c r="A201" s="454"/>
      <c r="B201" s="452"/>
      <c r="C201" s="123" t="str">
        <f>'работа 3 добр'!A317</f>
        <v>Строп динамический (рывковый) 6т,  9 м, серия "Стандарт" TPlus</v>
      </c>
      <c r="D201" s="69" t="str">
        <f>'работа 3 добр'!B317</f>
        <v>шт</v>
      </c>
      <c r="E201" s="185">
        <f>'работа 3 добр'!D317</f>
        <v>0.33500000000000002</v>
      </c>
    </row>
    <row r="202" spans="1:5" ht="15" customHeight="1" x14ac:dyDescent="0.25">
      <c r="A202" s="454"/>
      <c r="B202" s="452"/>
      <c r="C202" s="123" t="str">
        <f>'работа 3 добр'!A318</f>
        <v>Ступица заднего колеса УАЗ-3163(с имп.диском в сборе АБС)3163-3104006 (3163-3104006)</v>
      </c>
      <c r="D202" s="69" t="str">
        <f>'работа 3 добр'!B318</f>
        <v>шт</v>
      </c>
      <c r="E202" s="185">
        <f>'работа 3 добр'!D318</f>
        <v>0.33500000000000002</v>
      </c>
    </row>
    <row r="203" spans="1:5" ht="15" customHeight="1" x14ac:dyDescent="0.25">
      <c r="A203" s="454"/>
      <c r="B203" s="452"/>
      <c r="C203" s="123" t="str">
        <f>'работа 3 добр'!A319</f>
        <v>Сцепление к-т ЗМЗ-409"LUK"(с выжимным подшипником АДС)3163 06 1601006 (3163 06 1601006)</v>
      </c>
      <c r="D203" s="69" t="str">
        <f>'работа 3 добр'!B319</f>
        <v>шт</v>
      </c>
      <c r="E203" s="185">
        <f>'работа 3 добр'!D319</f>
        <v>0.33500000000000002</v>
      </c>
    </row>
    <row r="204" spans="1:5" ht="15" customHeight="1" x14ac:dyDescent="0.25">
      <c r="A204" s="454"/>
      <c r="B204" s="452"/>
      <c r="C204" s="123" t="str">
        <f>'работа 3 добр'!A320</f>
        <v>Термостат Т-118 t-87 (УМЗ4216) Электон  Т118-1306100-04</v>
      </c>
      <c r="D204" s="69" t="str">
        <f>'работа 3 добр'!B320</f>
        <v>шт</v>
      </c>
      <c r="E204" s="185">
        <f>'работа 3 добр'!D320</f>
        <v>0.67</v>
      </c>
    </row>
    <row r="205" spans="1:5" ht="15" customHeight="1" x14ac:dyDescent="0.25">
      <c r="A205" s="454"/>
      <c r="B205" s="452"/>
      <c r="C205" s="123" t="str">
        <f>'работа 3 добр'!A321</f>
        <v>Тормозная жидкость G-Energy EXPERT DOT4 (0.910кг)</v>
      </c>
      <c r="D205" s="69" t="str">
        <f>'работа 3 добр'!B321</f>
        <v>шт</v>
      </c>
      <c r="E205" s="185">
        <f>'работа 3 добр'!D321</f>
        <v>0.67</v>
      </c>
    </row>
    <row r="206" spans="1:5" ht="15" customHeight="1" x14ac:dyDescent="0.25">
      <c r="A206" s="454"/>
      <c r="B206" s="452"/>
      <c r="C206" s="123" t="str">
        <f>'работа 3 добр'!A322</f>
        <v>Уплотнитель свечного колодца 406 дв.(ЕВРО-2)(Силикон синий) 406.1007248-10 (406.1007248-10)</v>
      </c>
      <c r="D206" s="69" t="str">
        <f>'работа 3 добр'!B322</f>
        <v>шт</v>
      </c>
      <c r="E206" s="185">
        <f>'работа 3 добр'!D322</f>
        <v>0.33500000000000002</v>
      </c>
    </row>
    <row r="207" spans="1:5" ht="15" customHeight="1" x14ac:dyDescent="0.25">
      <c r="A207" s="454"/>
      <c r="B207" s="452"/>
      <c r="C207" s="123" t="str">
        <f>'работа 3 добр'!A323</f>
        <v>Утеплитель лобовой наружный с дверями УАЗ-452(ватин/венил/кожа)</v>
      </c>
      <c r="D207" s="69" t="str">
        <f>'работа 3 добр'!B323</f>
        <v>шт</v>
      </c>
      <c r="E207" s="185">
        <f>'работа 3 добр'!D323</f>
        <v>0.33500000000000002</v>
      </c>
    </row>
    <row r="208" spans="1:5" ht="15" customHeight="1" x14ac:dyDescent="0.25">
      <c r="A208" s="454"/>
      <c r="B208" s="452"/>
      <c r="C208" s="123" t="str">
        <f>'работа 3 добр'!A324</f>
        <v>Фильтр масляный MANN-FILTER W 914/2(W 812)(W 813)(W 914/2 n)(W 914/5)"10"</v>
      </c>
      <c r="D208" s="69" t="str">
        <f>'работа 3 добр'!B324</f>
        <v>шт</v>
      </c>
      <c r="E208" s="185">
        <f>'работа 3 добр'!D324</f>
        <v>1.34</v>
      </c>
    </row>
    <row r="209" spans="1:5" ht="15" customHeight="1" x14ac:dyDescent="0.25">
      <c r="A209" s="454"/>
      <c r="B209" s="452"/>
      <c r="C209" s="123" t="str">
        <f>'работа 3 добр'!A325</f>
        <v>Фильтр топливный УАЗ ( инжектор штуцера с резьбой)УАЗ Оригиннал 3151-96-1117010 (3151-96-1117010)</v>
      </c>
      <c r="D209" s="69" t="str">
        <f>'работа 3 добр'!B325</f>
        <v>шт</v>
      </c>
      <c r="E209" s="185">
        <f>'работа 3 добр'!D325</f>
        <v>1.34</v>
      </c>
    </row>
    <row r="210" spans="1:5" ht="15" customHeight="1" x14ac:dyDescent="0.25">
      <c r="A210" s="454"/>
      <c r="B210" s="452"/>
      <c r="C210" s="123" t="str">
        <f>'работа 3 добр'!A326</f>
        <v>Цилиндр тормозной задний УАЗ 3160,3162 Патриот(d=28мм)KNU 3160 3502040 (3160 3502040)</v>
      </c>
      <c r="D210" s="69" t="str">
        <f>'работа 3 добр'!B326</f>
        <v>шт</v>
      </c>
      <c r="E210" s="185">
        <f>'работа 3 добр'!D326</f>
        <v>1.34</v>
      </c>
    </row>
    <row r="211" spans="1:5" ht="15" customHeight="1" x14ac:dyDescent="0.25">
      <c r="A211" s="454"/>
      <c r="B211" s="452"/>
      <c r="C211" s="123" t="str">
        <f>'работа 3 добр'!A327</f>
        <v>Шакл (скоба омегообр. с резьбой г/п 3,25т)тип G209 ХЛ</v>
      </c>
      <c r="D211" s="69" t="str">
        <f>'работа 3 добр'!B327</f>
        <v>шт</v>
      </c>
      <c r="E211" s="185">
        <f>'работа 3 добр'!D327</f>
        <v>0.33500000000000002</v>
      </c>
    </row>
    <row r="212" spans="1:5" ht="15" customHeight="1" x14ac:dyDescent="0.25">
      <c r="A212" s="454"/>
      <c r="B212" s="452"/>
      <c r="C212" s="123" t="str">
        <f>'работа 3 добр'!A328</f>
        <v>Шкив помпы 406 дв текстолит 406.1308025-10 ( 406.1308025-10)</v>
      </c>
      <c r="D212" s="69" t="str">
        <f>'работа 3 добр'!B328</f>
        <v>шт</v>
      </c>
      <c r="E212" s="185">
        <f>'работа 3 добр'!D328</f>
        <v>1.0050000000000001</v>
      </c>
    </row>
    <row r="213" spans="1:5" ht="15" customHeight="1" x14ac:dyDescent="0.25">
      <c r="A213" s="454"/>
      <c r="B213" s="452"/>
      <c r="C213" s="123" t="str">
        <f>'работа 3 добр'!A329</f>
        <v>Шланг тормозной задний УАЗ-452 инжектор.ЕВРО-4 3962-3506061 (3962-3506061)</v>
      </c>
      <c r="D213" s="69" t="str">
        <f>'работа 3 добр'!B329</f>
        <v>шт</v>
      </c>
      <c r="E213" s="185">
        <f>'работа 3 добр'!D329</f>
        <v>1.34</v>
      </c>
    </row>
    <row r="214" spans="1:5" ht="15" customHeight="1" x14ac:dyDescent="0.25">
      <c r="A214" s="454"/>
      <c r="B214" s="452"/>
      <c r="C214" s="123" t="str">
        <f>'работа 3 добр'!A330</f>
        <v>Шланг тормозной передний УАЗ-452 инжектор Евро-4 3962-3506060 (3962-3506060)</v>
      </c>
      <c r="D214" s="69" t="str">
        <f>'работа 3 добр'!B330</f>
        <v>шт</v>
      </c>
      <c r="E214" s="185">
        <f>'работа 3 добр'!D330</f>
        <v>1.34</v>
      </c>
    </row>
    <row r="215" spans="1:5" ht="15" customHeight="1" x14ac:dyDescent="0.25">
      <c r="A215" s="454"/>
      <c r="B215" s="452"/>
      <c r="C215" s="123" t="str">
        <f>'работа 3 добр'!A331</f>
        <v>Шпилька колеса М 14х1,5х45  ГАЗ 2410,УАЗ 20-3103008-Б (20-3103008-Б)</v>
      </c>
      <c r="D215" s="69" t="str">
        <f>'работа 3 добр'!B331</f>
        <v>шт</v>
      </c>
      <c r="E215" s="185">
        <f>'работа 3 добр'!D331</f>
        <v>6.7</v>
      </c>
    </row>
    <row r="216" spans="1:5" ht="15" customHeight="1" x14ac:dyDescent="0.25">
      <c r="A216" s="454"/>
      <c r="B216" s="452"/>
      <c r="C216" s="123" t="str">
        <f>'работа 3 добр'!A332</f>
        <v>Элемент воздушного фильтра УАЗ 452 инжектор 4213,409 (низкий)Цитрон 9.1.97 1109080 (9.1.97 1109080)</v>
      </c>
      <c r="D216" s="69" t="str">
        <f>'работа 3 добр'!B332</f>
        <v>шт</v>
      </c>
      <c r="E216" s="185">
        <f>'работа 3 добр'!D332</f>
        <v>0.67</v>
      </c>
    </row>
    <row r="217" spans="1:5" x14ac:dyDescent="0.25">
      <c r="A217" s="454"/>
      <c r="B217" s="452"/>
      <c r="C217" s="123" t="str">
        <f>'работа 3 добр'!A333</f>
        <v>Кран шаровый</v>
      </c>
      <c r="D217" s="69" t="str">
        <f>'работа 3 добр'!B333</f>
        <v>шт</v>
      </c>
      <c r="E217" s="185">
        <f>'работа 3 добр'!D333</f>
        <v>0.33500000000000002</v>
      </c>
    </row>
    <row r="218" spans="1:5" x14ac:dyDescent="0.25">
      <c r="A218" s="454"/>
      <c r="B218" s="452"/>
      <c r="C218" s="123" t="str">
        <f>'работа 3 добр'!A334</f>
        <v>Вода дист</v>
      </c>
      <c r="D218" s="69" t="str">
        <f>'работа 3 добр'!B334</f>
        <v>шт</v>
      </c>
      <c r="E218" s="185">
        <f>'работа 3 добр'!D334</f>
        <v>0.33500000000000002</v>
      </c>
    </row>
    <row r="219" spans="1:5" x14ac:dyDescent="0.25">
      <c r="A219" s="454"/>
      <c r="B219" s="452"/>
      <c r="C219" s="123" t="str">
        <f>'работа 3 добр'!A335</f>
        <v>Кислота серная</v>
      </c>
      <c r="D219" s="69" t="str">
        <f>'работа 3 добр'!B335</f>
        <v>шт</v>
      </c>
      <c r="E219" s="185">
        <f>'работа 3 добр'!D335</f>
        <v>1.34</v>
      </c>
    </row>
    <row r="220" spans="1:5" x14ac:dyDescent="0.25">
      <c r="A220" s="454"/>
      <c r="B220" s="452"/>
      <c r="C220" s="123" t="str">
        <f>'работа 3 добр'!A336</f>
        <v>Пакеты майка</v>
      </c>
      <c r="D220" s="69" t="str">
        <f>'работа 3 добр'!B336</f>
        <v>шт</v>
      </c>
      <c r="E220" s="185">
        <f>'работа 3 добр'!D336</f>
        <v>0.33500000000000002</v>
      </c>
    </row>
    <row r="221" spans="1:5" x14ac:dyDescent="0.25">
      <c r="A221" s="454"/>
      <c r="B221" s="452"/>
      <c r="C221" s="123" t="str">
        <f>'работа 3 добр'!A337</f>
        <v>Уголок мебельный</v>
      </c>
      <c r="D221" s="69" t="str">
        <f>'работа 3 добр'!B337</f>
        <v>шт</v>
      </c>
      <c r="E221" s="185">
        <f>'работа 3 добр'!D337</f>
        <v>3.35</v>
      </c>
    </row>
    <row r="222" spans="1:5" x14ac:dyDescent="0.25">
      <c r="A222" s="454"/>
      <c r="B222" s="452"/>
      <c r="C222" s="123" t="str">
        <f>'работа 3 добр'!A338</f>
        <v>Саморез по гипсокартону</v>
      </c>
      <c r="D222" s="69" t="str">
        <f>'работа 3 добр'!B338</f>
        <v>шт</v>
      </c>
      <c r="E222" s="185">
        <f>'работа 3 добр'!D338</f>
        <v>67</v>
      </c>
    </row>
    <row r="223" spans="1:5" x14ac:dyDescent="0.25">
      <c r="A223" s="454"/>
      <c r="B223" s="452"/>
      <c r="C223" s="123" t="str">
        <f>'работа 3 добр'!A339</f>
        <v>Доместос</v>
      </c>
      <c r="D223" s="69" t="str">
        <f>'работа 3 добр'!B339</f>
        <v>шт</v>
      </c>
      <c r="E223" s="185">
        <f>'работа 3 добр'!D339</f>
        <v>1.675</v>
      </c>
    </row>
    <row r="224" spans="1:5" x14ac:dyDescent="0.25">
      <c r="A224" s="454"/>
      <c r="B224" s="452"/>
      <c r="C224" s="123" t="str">
        <f>'работа 3 добр'!A340</f>
        <v>Белизна</v>
      </c>
      <c r="D224" s="69" t="str">
        <f>'работа 3 добр'!B340</f>
        <v>шт</v>
      </c>
      <c r="E224" s="185">
        <f>'работа 3 добр'!D340</f>
        <v>1.675</v>
      </c>
    </row>
    <row r="225" spans="1:5" x14ac:dyDescent="0.25">
      <c r="A225" s="454"/>
      <c r="B225" s="452"/>
      <c r="C225" s="123" t="str">
        <f>'работа 3 добр'!A341</f>
        <v xml:space="preserve">Пемолюкс </v>
      </c>
      <c r="D225" s="69" t="str">
        <f>'работа 3 добр'!B341</f>
        <v>шт</v>
      </c>
      <c r="E225" s="185">
        <f>'работа 3 добр'!D341</f>
        <v>5.0250000000000004</v>
      </c>
    </row>
    <row r="226" spans="1:5" x14ac:dyDescent="0.25">
      <c r="A226" s="454"/>
      <c r="B226" s="452"/>
      <c r="C226" s="123" t="str">
        <f>'работа 3 добр'!A342</f>
        <v>Мыло</v>
      </c>
      <c r="D226" s="69" t="str">
        <f>'работа 3 добр'!B342</f>
        <v>шт</v>
      </c>
      <c r="E226" s="185">
        <f>'работа 3 добр'!D342</f>
        <v>0.33500000000000002</v>
      </c>
    </row>
    <row r="227" spans="1:5" x14ac:dyDescent="0.25">
      <c r="A227" s="454"/>
      <c r="B227" s="452"/>
      <c r="C227" s="123" t="str">
        <f>'работа 3 добр'!A343</f>
        <v>Стеклоочиститель с распылителем</v>
      </c>
      <c r="D227" s="69" t="str">
        <f>'работа 3 добр'!B343</f>
        <v>шт</v>
      </c>
      <c r="E227" s="185">
        <f>'работа 3 добр'!D343</f>
        <v>0.33500000000000002</v>
      </c>
    </row>
    <row r="228" spans="1:5" x14ac:dyDescent="0.25">
      <c r="A228" s="454"/>
      <c r="B228" s="452"/>
      <c r="C228" s="123" t="str">
        <f>'работа 3 добр'!A344</f>
        <v>Стеклоочиститель (сменный блок)</v>
      </c>
      <c r="D228" s="69" t="str">
        <f>'работа 3 добр'!B344</f>
        <v>шт</v>
      </c>
      <c r="E228" s="185">
        <f>'работа 3 добр'!D344</f>
        <v>0.33500000000000002</v>
      </c>
    </row>
    <row r="229" spans="1:5" x14ac:dyDescent="0.25">
      <c r="A229" s="454"/>
      <c r="B229" s="452"/>
      <c r="C229" s="123" t="str">
        <f>'работа 3 добр'!A345</f>
        <v>Губки</v>
      </c>
      <c r="D229" s="69" t="str">
        <f>'работа 3 добр'!B345</f>
        <v>шт</v>
      </c>
      <c r="E229" s="185">
        <f>'работа 3 добр'!D345</f>
        <v>0.67</v>
      </c>
    </row>
    <row r="230" spans="1:5" x14ac:dyDescent="0.25">
      <c r="A230" s="454"/>
      <c r="B230" s="452"/>
      <c r="C230" s="123" t="str">
        <f>'работа 3 добр'!A346</f>
        <v>Моющее средство МИФ</v>
      </c>
      <c r="D230" s="69" t="str">
        <f>'работа 3 добр'!B346</f>
        <v>шт</v>
      </c>
      <c r="E230" s="185">
        <f>'работа 3 добр'!D346</f>
        <v>1.675</v>
      </c>
    </row>
    <row r="231" spans="1:5" x14ac:dyDescent="0.25">
      <c r="A231" s="454"/>
      <c r="B231" s="452"/>
      <c r="C231" s="123" t="str">
        <f>'работа 3 добр'!A347</f>
        <v>Тряпка вискозная</v>
      </c>
      <c r="D231" s="69" t="str">
        <f>'работа 3 добр'!B347</f>
        <v>шт</v>
      </c>
      <c r="E231" s="185">
        <f>'работа 3 добр'!D347</f>
        <v>1.675</v>
      </c>
    </row>
    <row r="232" spans="1:5" x14ac:dyDescent="0.25">
      <c r="A232" s="454"/>
      <c r="B232" s="452"/>
      <c r="C232" s="123" t="str">
        <f>'работа 3 добр'!A348</f>
        <v>Тряпки</v>
      </c>
      <c r="D232" s="69" t="str">
        <f>'работа 3 добр'!B348</f>
        <v>шт</v>
      </c>
      <c r="E232" s="185">
        <f>'работа 3 добр'!D348</f>
        <v>1.675</v>
      </c>
    </row>
    <row r="233" spans="1:5" x14ac:dyDescent="0.25">
      <c r="A233" s="454"/>
      <c r="B233" s="452"/>
      <c r="C233" s="123" t="str">
        <f>'работа 3 добр'!A349</f>
        <v>Полотенца бумажные</v>
      </c>
      <c r="D233" s="69" t="str">
        <f>'работа 3 добр'!B349</f>
        <v>шт</v>
      </c>
      <c r="E233" s="185">
        <f>'работа 3 добр'!D349</f>
        <v>1.675</v>
      </c>
    </row>
    <row r="234" spans="1:5" x14ac:dyDescent="0.25">
      <c r="A234" s="454"/>
      <c r="B234" s="452"/>
      <c r="C234" s="123" t="str">
        <f>'работа 3 добр'!A350</f>
        <v>Железная губка</v>
      </c>
      <c r="D234" s="69" t="str">
        <f>'работа 3 добр'!B350</f>
        <v>шт</v>
      </c>
      <c r="E234" s="185">
        <f>'работа 3 добр'!D350</f>
        <v>0.67</v>
      </c>
    </row>
    <row r="235" spans="1:5" x14ac:dyDescent="0.25">
      <c r="A235" s="454"/>
      <c r="B235" s="452"/>
      <c r="C235" s="123" t="str">
        <f>'работа 3 добр'!A351</f>
        <v>Перчатки</v>
      </c>
      <c r="D235" s="69" t="str">
        <f>'работа 3 добр'!B351</f>
        <v>шт</v>
      </c>
      <c r="E235" s="185">
        <f>'работа 3 добр'!D351</f>
        <v>1.675</v>
      </c>
    </row>
    <row r="236" spans="1:5" x14ac:dyDescent="0.25">
      <c r="A236" s="454"/>
      <c r="B236" s="452"/>
      <c r="C236" s="123" t="str">
        <f>'работа 3 добр'!A352</f>
        <v>Блок гигиенический для унитаза</v>
      </c>
      <c r="D236" s="69" t="str">
        <f>'работа 3 добр'!B352</f>
        <v>шт</v>
      </c>
      <c r="E236" s="185">
        <f>'работа 3 добр'!D352</f>
        <v>0.67</v>
      </c>
    </row>
    <row r="237" spans="1:5" x14ac:dyDescent="0.25">
      <c r="A237" s="454"/>
      <c r="B237" s="452"/>
      <c r="C237" s="123" t="str">
        <f>'работа 3 добр'!A353</f>
        <v>Мыло</v>
      </c>
      <c r="D237" s="69" t="str">
        <f>'работа 3 добр'!B353</f>
        <v>шт</v>
      </c>
      <c r="E237" s="185">
        <f>'работа 3 добр'!D353</f>
        <v>1.675</v>
      </c>
    </row>
    <row r="238" spans="1:5" x14ac:dyDescent="0.25">
      <c r="A238" s="454"/>
      <c r="B238" s="452"/>
      <c r="C238" s="123" t="str">
        <f>'работа 3 добр'!A354</f>
        <v>Мешки для мусора 60 л</v>
      </c>
      <c r="D238" s="69" t="str">
        <f>'работа 3 добр'!B354</f>
        <v>шт</v>
      </c>
      <c r="E238" s="185">
        <f>'работа 3 добр'!D354</f>
        <v>3.35</v>
      </c>
    </row>
    <row r="239" spans="1:5" x14ac:dyDescent="0.25">
      <c r="A239" s="454"/>
      <c r="B239" s="452"/>
      <c r="C239" s="123" t="str">
        <f>'работа 3 добр'!A355</f>
        <v>Мешки для мусора 120 л</v>
      </c>
      <c r="D239" s="69" t="str">
        <f>'работа 3 добр'!B355</f>
        <v>шт</v>
      </c>
      <c r="E239" s="185">
        <f>'работа 3 добр'!D355</f>
        <v>1.675</v>
      </c>
    </row>
    <row r="240" spans="1:5" x14ac:dyDescent="0.25">
      <c r="A240" s="454"/>
      <c r="B240" s="452"/>
      <c r="C240" s="123" t="str">
        <f>'работа 3 добр'!A356</f>
        <v>Мешки для мусора 35 л</v>
      </c>
      <c r="D240" s="69" t="str">
        <f>'работа 3 добр'!B356</f>
        <v>шт</v>
      </c>
      <c r="E240" s="185">
        <f>'работа 3 добр'!D356</f>
        <v>3.35</v>
      </c>
    </row>
    <row r="241" spans="1:5" x14ac:dyDescent="0.25">
      <c r="A241" s="454"/>
      <c r="B241" s="452"/>
      <c r="C241" s="123" t="str">
        <f>'работа 3 добр'!A357</f>
        <v>Туалетная бумага</v>
      </c>
      <c r="D241" s="69" t="str">
        <f>'работа 3 добр'!B357</f>
        <v>шт</v>
      </c>
      <c r="E241" s="185">
        <f>'работа 3 добр'!D357</f>
        <v>16.080000000000002</v>
      </c>
    </row>
    <row r="242" spans="1:5" x14ac:dyDescent="0.25">
      <c r="A242" s="454"/>
      <c r="B242" s="452"/>
      <c r="C242" s="123" t="str">
        <f>'работа 3 добр'!A358</f>
        <v>Салфетка</v>
      </c>
      <c r="D242" s="69" t="str">
        <f>'работа 3 добр'!B358</f>
        <v>шт</v>
      </c>
      <c r="E242" s="185">
        <f>'работа 3 добр'!D358</f>
        <v>1.675</v>
      </c>
    </row>
    <row r="243" spans="1:5" x14ac:dyDescent="0.25">
      <c r="A243" s="454"/>
      <c r="B243" s="452"/>
      <c r="C243" s="123" t="str">
        <f>'работа 3 добр'!A359</f>
        <v>Пакет</v>
      </c>
      <c r="D243" s="69" t="str">
        <f>'работа 3 добр'!B359</f>
        <v>шт</v>
      </c>
      <c r="E243" s="185">
        <f>'работа 3 добр'!D359</f>
        <v>1.0050000000000001</v>
      </c>
    </row>
    <row r="244" spans="1:5" x14ac:dyDescent="0.25">
      <c r="A244" s="454"/>
      <c r="B244" s="452"/>
      <c r="C244" s="123" t="str">
        <f>'работа 3 добр'!A360</f>
        <v>Жидкое мыло</v>
      </c>
      <c r="D244" s="69" t="str">
        <f>'работа 3 добр'!B360</f>
        <v>шт</v>
      </c>
      <c r="E244" s="185">
        <f>'работа 3 добр'!D360</f>
        <v>1.675</v>
      </c>
    </row>
    <row r="245" spans="1:5" x14ac:dyDescent="0.25">
      <c r="A245" s="454"/>
      <c r="B245" s="452"/>
      <c r="C245" s="123" t="str">
        <f>'работа 3 добр'!A361</f>
        <v>Стеклоочиститель</v>
      </c>
      <c r="D245" s="69" t="str">
        <f>'работа 3 добр'!B361</f>
        <v>шт</v>
      </c>
      <c r="E245" s="185">
        <f>'работа 3 добр'!D361</f>
        <v>1.0050000000000001</v>
      </c>
    </row>
    <row r="246" spans="1:5" x14ac:dyDescent="0.25">
      <c r="A246" s="454"/>
      <c r="B246" s="452"/>
      <c r="C246" s="123" t="str">
        <f>'работа 3 добр'!A362</f>
        <v>Блок для записи маленький</v>
      </c>
      <c r="D246" s="69" t="str">
        <f>'работа 3 добр'!B362</f>
        <v>шт</v>
      </c>
      <c r="E246" s="185">
        <f>'работа 3 добр'!D362</f>
        <v>0.67</v>
      </c>
    </row>
    <row r="247" spans="1:5" x14ac:dyDescent="0.25">
      <c r="A247" s="454"/>
      <c r="B247" s="452"/>
      <c r="C247" s="123" t="str">
        <f>'работа 3 добр'!A363</f>
        <v>Блок для записи большой</v>
      </c>
      <c r="D247" s="69" t="str">
        <f>'работа 3 добр'!B363</f>
        <v>шт</v>
      </c>
      <c r="E247" s="185">
        <f>'работа 3 добр'!D363</f>
        <v>1.0050000000000001</v>
      </c>
    </row>
    <row r="248" spans="1:5" x14ac:dyDescent="0.25">
      <c r="A248" s="454"/>
      <c r="B248" s="452"/>
      <c r="C248" s="123" t="str">
        <f>'работа 3 добр'!A364</f>
        <v>Скрепки</v>
      </c>
      <c r="D248" s="69" t="str">
        <f>'работа 3 добр'!B364</f>
        <v>шт</v>
      </c>
      <c r="E248" s="185">
        <f>'работа 3 добр'!D364</f>
        <v>3.35</v>
      </c>
    </row>
    <row r="249" spans="1:5" x14ac:dyDescent="0.25">
      <c r="A249" s="454"/>
      <c r="B249" s="452"/>
      <c r="C249" s="123" t="str">
        <f>'работа 3 добр'!A365</f>
        <v>Кнопки</v>
      </c>
      <c r="D249" s="69" t="str">
        <f>'работа 3 добр'!B365</f>
        <v>шт</v>
      </c>
      <c r="E249" s="185">
        <f>'работа 3 добр'!D365</f>
        <v>3.35</v>
      </c>
    </row>
    <row r="250" spans="1:5" x14ac:dyDescent="0.25">
      <c r="A250" s="454"/>
      <c r="B250" s="452"/>
      <c r="C250" s="123" t="str">
        <f>'работа 3 добр'!A366</f>
        <v>Кнопки</v>
      </c>
      <c r="D250" s="69" t="str">
        <f>'работа 3 добр'!B366</f>
        <v>шт</v>
      </c>
      <c r="E250" s="185">
        <f>'работа 3 добр'!D366</f>
        <v>1.675</v>
      </c>
    </row>
    <row r="251" spans="1:5" x14ac:dyDescent="0.25">
      <c r="A251" s="454"/>
      <c r="B251" s="452"/>
      <c r="C251" s="123" t="str">
        <f>'работа 3 добр'!A367</f>
        <v>Степлер №10</v>
      </c>
      <c r="D251" s="69" t="str">
        <f>'работа 3 добр'!B367</f>
        <v>шт</v>
      </c>
      <c r="E251" s="185">
        <f>'работа 3 добр'!D367</f>
        <v>0.33500000000000002</v>
      </c>
    </row>
    <row r="252" spans="1:5" x14ac:dyDescent="0.25">
      <c r="A252" s="454"/>
      <c r="B252" s="452"/>
      <c r="C252" s="123" t="str">
        <f>'работа 3 добр'!A368</f>
        <v>Степлер №24</v>
      </c>
      <c r="D252" s="69" t="str">
        <f>'работа 3 добр'!B368</f>
        <v>шт</v>
      </c>
      <c r="E252" s="185">
        <f>'работа 3 добр'!D368</f>
        <v>0.33500000000000002</v>
      </c>
    </row>
    <row r="253" spans="1:5" x14ac:dyDescent="0.25">
      <c r="A253" s="454"/>
      <c r="B253" s="452"/>
      <c r="C253" s="123" t="str">
        <f>'работа 3 добр'!A369</f>
        <v>Степлер №21</v>
      </c>
      <c r="D253" s="69" t="str">
        <f>'работа 3 добр'!B369</f>
        <v>шт</v>
      </c>
      <c r="E253" s="185">
        <f>'работа 3 добр'!D369</f>
        <v>1.0050000000000001</v>
      </c>
    </row>
    <row r="254" spans="1:5" x14ac:dyDescent="0.25">
      <c r="A254" s="454"/>
      <c r="B254" s="452"/>
      <c r="C254" s="123" t="str">
        <f>'работа 3 добр'!A370</f>
        <v>Скобы для степлера (большие)</v>
      </c>
      <c r="D254" s="69" t="str">
        <f>'работа 3 добр'!B370</f>
        <v>шт</v>
      </c>
      <c r="E254" s="185">
        <f>'работа 3 добр'!D370</f>
        <v>6.7</v>
      </c>
    </row>
    <row r="255" spans="1:5" x14ac:dyDescent="0.25">
      <c r="A255" s="454"/>
      <c r="B255" s="452"/>
      <c r="C255" s="123" t="str">
        <f>'работа 3 добр'!A371</f>
        <v>Скобы для степлера (маленькие)</v>
      </c>
      <c r="D255" s="69" t="str">
        <f>'работа 3 добр'!B371</f>
        <v>шт</v>
      </c>
      <c r="E255" s="185">
        <f>'работа 3 добр'!D371</f>
        <v>3.35</v>
      </c>
    </row>
    <row r="256" spans="1:5" x14ac:dyDescent="0.25">
      <c r="A256" s="454"/>
      <c r="B256" s="452"/>
      <c r="C256" s="123" t="str">
        <f>'работа 3 добр'!A372</f>
        <v>Ножницы маленькие</v>
      </c>
      <c r="D256" s="69" t="str">
        <f>'работа 3 добр'!B372</f>
        <v>шт</v>
      </c>
      <c r="E256" s="185">
        <f>'работа 3 добр'!D372</f>
        <v>1.0050000000000001</v>
      </c>
    </row>
    <row r="257" spans="1:5" x14ac:dyDescent="0.25">
      <c r="A257" s="454"/>
      <c r="B257" s="452"/>
      <c r="C257" s="123" t="str">
        <f>'работа 3 добр'!A373</f>
        <v xml:space="preserve">Ножницы большие </v>
      </c>
      <c r="D257" s="69" t="str">
        <f>'работа 3 добр'!B373</f>
        <v>шт</v>
      </c>
      <c r="E257" s="185">
        <f>'работа 3 добр'!D373</f>
        <v>0.33500000000000002</v>
      </c>
    </row>
    <row r="258" spans="1:5" x14ac:dyDescent="0.25">
      <c r="A258" s="454"/>
      <c r="B258" s="452"/>
      <c r="C258" s="123" t="str">
        <f>'работа 3 добр'!A374</f>
        <v>Ножницы</v>
      </c>
      <c r="D258" s="69" t="str">
        <f>'работа 3 добр'!B374</f>
        <v>шт</v>
      </c>
      <c r="E258" s="185">
        <f>'работа 3 добр'!D374</f>
        <v>3.35</v>
      </c>
    </row>
    <row r="259" spans="1:5" x14ac:dyDescent="0.25">
      <c r="A259" s="454"/>
      <c r="B259" s="452"/>
      <c r="C259" s="123" t="str">
        <f>'работа 3 добр'!A375</f>
        <v>Линейка 40 см</v>
      </c>
      <c r="D259" s="69" t="str">
        <f>'работа 3 добр'!B375</f>
        <v>шт</v>
      </c>
      <c r="E259" s="185">
        <f>'работа 3 добр'!D375</f>
        <v>0.67</v>
      </c>
    </row>
    <row r="260" spans="1:5" x14ac:dyDescent="0.25">
      <c r="A260" s="454"/>
      <c r="B260" s="452"/>
      <c r="C260" s="123" t="str">
        <f>'работа 3 добр'!A376</f>
        <v>Линейка 30 см</v>
      </c>
      <c r="D260" s="69" t="str">
        <f>'работа 3 добр'!B376</f>
        <v>шт</v>
      </c>
      <c r="E260" s="185">
        <f>'работа 3 добр'!D376</f>
        <v>1.675</v>
      </c>
    </row>
    <row r="261" spans="1:5" x14ac:dyDescent="0.25">
      <c r="A261" s="454"/>
      <c r="B261" s="452"/>
      <c r="C261" s="123" t="str">
        <f>'работа 3 добр'!A377</f>
        <v>Линейка 20 см</v>
      </c>
      <c r="D261" s="69" t="str">
        <f>'работа 3 добр'!B377</f>
        <v>шт</v>
      </c>
      <c r="E261" s="185">
        <f>'работа 3 добр'!D377</f>
        <v>1.34</v>
      </c>
    </row>
    <row r="262" spans="1:5" x14ac:dyDescent="0.25">
      <c r="A262" s="454"/>
      <c r="B262" s="452"/>
      <c r="C262" s="123" t="str">
        <f>'работа 3 добр'!A378</f>
        <v>Маркер черный толстый</v>
      </c>
      <c r="D262" s="69" t="str">
        <f>'работа 3 добр'!B378</f>
        <v>шт</v>
      </c>
      <c r="E262" s="185">
        <f>'работа 3 добр'!D378</f>
        <v>0.33500000000000002</v>
      </c>
    </row>
    <row r="263" spans="1:5" x14ac:dyDescent="0.25">
      <c r="A263" s="454"/>
      <c r="B263" s="452"/>
      <c r="C263" s="123" t="str">
        <f>'работа 3 добр'!A379</f>
        <v>Маркер черный тонкий</v>
      </c>
      <c r="D263" s="69" t="str">
        <f>'работа 3 добр'!B379</f>
        <v>шт</v>
      </c>
      <c r="E263" s="185">
        <f>'работа 3 добр'!D379</f>
        <v>2.68</v>
      </c>
    </row>
    <row r="264" spans="1:5" x14ac:dyDescent="0.25">
      <c r="A264" s="454"/>
      <c r="B264" s="452"/>
      <c r="C264" s="123" t="str">
        <f>'работа 3 добр'!A380</f>
        <v>Маркер (набор)</v>
      </c>
      <c r="D264" s="69" t="str">
        <f>'работа 3 добр'!B380</f>
        <v>шт</v>
      </c>
      <c r="E264" s="185">
        <f>'работа 3 добр'!D380</f>
        <v>0.33500000000000002</v>
      </c>
    </row>
    <row r="265" spans="1:5" x14ac:dyDescent="0.25">
      <c r="A265" s="454"/>
      <c r="B265" s="452"/>
      <c r="C265" s="123" t="str">
        <f>'работа 3 добр'!A381</f>
        <v>Маркер красный</v>
      </c>
      <c r="D265" s="69" t="str">
        <f>'работа 3 добр'!B381</f>
        <v>шт</v>
      </c>
      <c r="E265" s="185">
        <f>'работа 3 добр'!D381</f>
        <v>1.34</v>
      </c>
    </row>
    <row r="266" spans="1:5" x14ac:dyDescent="0.25">
      <c r="A266" s="454"/>
      <c r="B266" s="452"/>
      <c r="C266" s="123" t="str">
        <f>'работа 3 добр'!A382</f>
        <v>Маркер (синий)</v>
      </c>
      <c r="D266" s="69" t="str">
        <f>'работа 3 добр'!B382</f>
        <v>шт</v>
      </c>
      <c r="E266" s="185">
        <f>'работа 3 добр'!D382</f>
        <v>0.67</v>
      </c>
    </row>
    <row r="267" spans="1:5" x14ac:dyDescent="0.25">
      <c r="A267" s="454"/>
      <c r="B267" s="452"/>
      <c r="C267" s="123" t="str">
        <f>'работа 3 добр'!A383</f>
        <v>Клей маленький</v>
      </c>
      <c r="D267" s="69" t="str">
        <f>'работа 3 добр'!B383</f>
        <v>шт</v>
      </c>
      <c r="E267" s="185">
        <f>'работа 3 добр'!D383</f>
        <v>3.0150000000000001</v>
      </c>
    </row>
    <row r="268" spans="1:5" x14ac:dyDescent="0.25">
      <c r="A268" s="454"/>
      <c r="B268" s="452"/>
      <c r="C268" s="123" t="str">
        <f>'работа 3 добр'!A384</f>
        <v>Клей большой</v>
      </c>
      <c r="D268" s="69" t="str">
        <f>'работа 3 добр'!B384</f>
        <v>шт</v>
      </c>
      <c r="E268" s="185">
        <f>'работа 3 добр'!D384</f>
        <v>1.675</v>
      </c>
    </row>
    <row r="269" spans="1:5" x14ac:dyDescent="0.25">
      <c r="A269" s="454"/>
      <c r="B269" s="452"/>
      <c r="C269" s="123" t="str">
        <f>'работа 3 добр'!A385</f>
        <v>Резак для резки бумаги</v>
      </c>
      <c r="D269" s="69" t="str">
        <f>'работа 3 добр'!B385</f>
        <v>шт</v>
      </c>
      <c r="E269" s="185">
        <f>'работа 3 добр'!D385</f>
        <v>0.33500000000000002</v>
      </c>
    </row>
    <row r="270" spans="1:5" x14ac:dyDescent="0.25">
      <c r="A270" s="454"/>
      <c r="B270" s="452"/>
      <c r="C270" s="123" t="str">
        <f>'работа 3 добр'!A386</f>
        <v>Краска</v>
      </c>
      <c r="D270" s="69" t="str">
        <f>'работа 3 добр'!B386</f>
        <v>шт</v>
      </c>
      <c r="E270" s="185">
        <f>'работа 3 добр'!D386</f>
        <v>0.33500000000000002</v>
      </c>
    </row>
    <row r="271" spans="1:5" x14ac:dyDescent="0.25">
      <c r="A271" s="454"/>
      <c r="B271" s="452"/>
      <c r="C271" s="123" t="str">
        <f>'работа 3 добр'!A387</f>
        <v>Зажим маленький</v>
      </c>
      <c r="D271" s="69" t="str">
        <f>'работа 3 добр'!B387</f>
        <v>шт</v>
      </c>
      <c r="E271" s="185">
        <f>'работа 3 добр'!D387</f>
        <v>3.35</v>
      </c>
    </row>
    <row r="272" spans="1:5" x14ac:dyDescent="0.25">
      <c r="A272" s="454"/>
      <c r="B272" s="452"/>
      <c r="C272" s="123" t="str">
        <f>'работа 3 добр'!A388</f>
        <v>Зажим большой</v>
      </c>
      <c r="D272" s="69" t="str">
        <f>'работа 3 добр'!B388</f>
        <v>шт</v>
      </c>
      <c r="E272" s="185">
        <f>'работа 3 добр'!D388</f>
        <v>3.35</v>
      </c>
    </row>
    <row r="273" spans="1:5" x14ac:dyDescent="0.25">
      <c r="A273" s="454"/>
      <c r="B273" s="452"/>
      <c r="C273" s="123" t="str">
        <f>'работа 3 добр'!A389</f>
        <v>Корректор ручка</v>
      </c>
      <c r="D273" s="69" t="str">
        <f>'работа 3 добр'!B389</f>
        <v>шт</v>
      </c>
      <c r="E273" s="185">
        <f>'работа 3 добр'!D389</f>
        <v>0.67</v>
      </c>
    </row>
    <row r="274" spans="1:5" x14ac:dyDescent="0.25">
      <c r="A274" s="454"/>
      <c r="B274" s="452"/>
      <c r="C274" s="123" t="str">
        <f>'работа 3 добр'!A390</f>
        <v>Корректор с кистью</v>
      </c>
      <c r="D274" s="69" t="str">
        <f>'работа 3 добр'!B390</f>
        <v>шт</v>
      </c>
      <c r="E274" s="185">
        <f>'работа 3 добр'!D390</f>
        <v>0.67</v>
      </c>
    </row>
    <row r="275" spans="1:5" x14ac:dyDescent="0.25">
      <c r="A275" s="454"/>
      <c r="B275" s="452"/>
      <c r="C275" s="123" t="str">
        <f>'работа 3 добр'!A391</f>
        <v>Скотч</v>
      </c>
      <c r="D275" s="69" t="str">
        <f>'работа 3 добр'!B391</f>
        <v>шт</v>
      </c>
      <c r="E275" s="185">
        <f>'работа 3 добр'!D391</f>
        <v>1.675</v>
      </c>
    </row>
    <row r="276" spans="1:5" x14ac:dyDescent="0.25">
      <c r="A276" s="454"/>
      <c r="B276" s="452"/>
      <c r="C276" s="123" t="str">
        <f>'работа 3 добр'!A392</f>
        <v>Нож канцелярский</v>
      </c>
      <c r="D276" s="69" t="str">
        <f>'работа 3 добр'!B392</f>
        <v>шт</v>
      </c>
      <c r="E276" s="185">
        <f>'работа 3 добр'!D392</f>
        <v>4.0200000000000005</v>
      </c>
    </row>
    <row r="277" spans="1:5" x14ac:dyDescent="0.25">
      <c r="A277" s="454"/>
      <c r="B277" s="452"/>
      <c r="C277" s="123" t="str">
        <f>'работа 3 добр'!A393</f>
        <v>Нитки для сшивания (толстые)</v>
      </c>
      <c r="D277" s="69" t="str">
        <f>'работа 3 добр'!B393</f>
        <v>шт</v>
      </c>
      <c r="E277" s="185">
        <f>'работа 3 добр'!D393</f>
        <v>0.33500000000000002</v>
      </c>
    </row>
    <row r="278" spans="1:5" x14ac:dyDescent="0.25">
      <c r="A278" s="454"/>
      <c r="B278" s="452"/>
      <c r="C278" s="123" t="str">
        <f>'работа 3 добр'!A394</f>
        <v>Шило</v>
      </c>
      <c r="D278" s="69" t="str">
        <f>'работа 3 добр'!B394</f>
        <v>шт</v>
      </c>
      <c r="E278" s="185">
        <f>'работа 3 добр'!D394</f>
        <v>0.33500000000000002</v>
      </c>
    </row>
    <row r="279" spans="1:5" x14ac:dyDescent="0.25">
      <c r="A279" s="454"/>
      <c r="B279" s="452"/>
      <c r="C279" s="123" t="str">
        <f>'работа 3 добр'!A395</f>
        <v>Дырокол на 10 листов металл.</v>
      </c>
      <c r="D279" s="69" t="str">
        <f>'работа 3 добр'!B395</f>
        <v>шт</v>
      </c>
      <c r="E279" s="185">
        <f>'работа 3 добр'!D395</f>
        <v>1.34</v>
      </c>
    </row>
    <row r="280" spans="1:5" x14ac:dyDescent="0.25">
      <c r="A280" s="454"/>
      <c r="B280" s="452"/>
      <c r="C280" s="123" t="str">
        <f>'работа 3 добр'!A396</f>
        <v>Дырокол на 70 листов черный</v>
      </c>
      <c r="D280" s="69" t="str">
        <f>'работа 3 добр'!B396</f>
        <v>шт</v>
      </c>
      <c r="E280" s="185">
        <f>'работа 3 добр'!D396</f>
        <v>0.33500000000000002</v>
      </c>
    </row>
    <row r="281" spans="1:5" x14ac:dyDescent="0.25">
      <c r="A281" s="454"/>
      <c r="B281" s="452"/>
      <c r="C281" s="123" t="str">
        <f>'работа 3 добр'!A397</f>
        <v>Карандаш простой</v>
      </c>
      <c r="D281" s="69" t="str">
        <f>'работа 3 добр'!B397</f>
        <v>шт</v>
      </c>
      <c r="E281" s="185">
        <f>'работа 3 добр'!D397</f>
        <v>3.35</v>
      </c>
    </row>
    <row r="282" spans="1:5" x14ac:dyDescent="0.25">
      <c r="A282" s="454"/>
      <c r="B282" s="452"/>
      <c r="C282" s="123" t="str">
        <f>'работа 3 добр'!A398</f>
        <v>Ручка</v>
      </c>
      <c r="D282" s="69" t="str">
        <f>'работа 3 добр'!B398</f>
        <v>шт</v>
      </c>
      <c r="E282" s="185">
        <f>'работа 3 добр'!D398</f>
        <v>0.33500000000000002</v>
      </c>
    </row>
    <row r="283" spans="1:5" x14ac:dyDescent="0.25">
      <c r="A283" s="454"/>
      <c r="B283" s="452"/>
      <c r="C283" s="123" t="str">
        <f>'работа 3 добр'!A399</f>
        <v>Полотенце</v>
      </c>
      <c r="D283" s="69" t="str">
        <f>'работа 3 добр'!B399</f>
        <v>шт</v>
      </c>
      <c r="E283" s="185">
        <f>'работа 3 добр'!D399</f>
        <v>1.675</v>
      </c>
    </row>
    <row r="284" spans="1:5" x14ac:dyDescent="0.25">
      <c r="A284" s="454"/>
      <c r="B284" s="452"/>
      <c r="C284" s="123" t="str">
        <f>'работа 3 добр'!A400</f>
        <v>Комплект веник-совок</v>
      </c>
      <c r="D284" s="69" t="str">
        <f>'работа 3 добр'!B400</f>
        <v>шт</v>
      </c>
      <c r="E284" s="185">
        <f>'работа 3 добр'!D400</f>
        <v>1.0050000000000001</v>
      </c>
    </row>
    <row r="285" spans="1:5" x14ac:dyDescent="0.25">
      <c r="A285" s="454"/>
      <c r="B285" s="452"/>
      <c r="C285" s="123" t="str">
        <f>'работа 3 добр'!A401</f>
        <v>Насадки на швабру</v>
      </c>
      <c r="D285" s="69" t="str">
        <f>'работа 3 добр'!B401</f>
        <v>шт</v>
      </c>
      <c r="E285" s="185">
        <f>'работа 3 добр'!D401</f>
        <v>1.34</v>
      </c>
    </row>
    <row r="286" spans="1:5" x14ac:dyDescent="0.25">
      <c r="A286" s="454"/>
      <c r="B286" s="452"/>
      <c r="C286" s="123" t="str">
        <f>'работа 3 добр'!A402</f>
        <v>Бумага Svetocopy</v>
      </c>
      <c r="D286" s="69" t="str">
        <f>'работа 3 добр'!B402</f>
        <v>шт</v>
      </c>
      <c r="E286" s="185">
        <f>'работа 3 добр'!D402</f>
        <v>10.050000000000001</v>
      </c>
    </row>
    <row r="287" spans="1:5" x14ac:dyDescent="0.25">
      <c r="A287" s="454"/>
      <c r="B287" s="452"/>
      <c r="C287" s="123" t="str">
        <f>'работа 3 добр'!A403</f>
        <v>Папка накопитель</v>
      </c>
      <c r="D287" s="69" t="str">
        <f>'работа 3 добр'!B403</f>
        <v>шт</v>
      </c>
      <c r="E287" s="185">
        <f>'работа 3 добр'!D403</f>
        <v>0.33500000000000002</v>
      </c>
    </row>
    <row r="288" spans="1:5" x14ac:dyDescent="0.25">
      <c r="A288" s="454"/>
      <c r="B288" s="452"/>
      <c r="C288" s="123" t="str">
        <f>'работа 3 добр'!A404</f>
        <v>Набор пил колец</v>
      </c>
      <c r="D288" s="69" t="str">
        <f>'работа 3 добр'!B404</f>
        <v>шт</v>
      </c>
      <c r="E288" s="185">
        <f>'работа 3 добр'!D404</f>
        <v>0.33500000000000002</v>
      </c>
    </row>
    <row r="289" spans="1:5" x14ac:dyDescent="0.25">
      <c r="A289" s="454"/>
      <c r="B289" s="452"/>
      <c r="C289" s="123" t="str">
        <f>'работа 3 добр'!A405</f>
        <v>Клей</v>
      </c>
      <c r="D289" s="69" t="str">
        <f>'работа 3 добр'!B405</f>
        <v>шт</v>
      </c>
      <c r="E289" s="185">
        <f>'работа 3 добр'!D405</f>
        <v>0.33500000000000002</v>
      </c>
    </row>
    <row r="290" spans="1:5" x14ac:dyDescent="0.25">
      <c r="A290" s="454"/>
      <c r="B290" s="452"/>
      <c r="C290" s="123" t="str">
        <f>'работа 3 добр'!A406</f>
        <v>Крышка горловины</v>
      </c>
      <c r="D290" s="69" t="str">
        <f>'работа 3 добр'!B406</f>
        <v>шт</v>
      </c>
      <c r="E290" s="185">
        <f>'работа 3 добр'!D406</f>
        <v>0.67</v>
      </c>
    </row>
    <row r="291" spans="1:5" x14ac:dyDescent="0.25">
      <c r="A291" s="454"/>
      <c r="B291" s="452"/>
      <c r="C291" s="123" t="str">
        <f>'работа 3 добр'!A407</f>
        <v>папка скоросшиватель</v>
      </c>
      <c r="D291" s="69" t="str">
        <f>'работа 3 добр'!B407</f>
        <v>шт</v>
      </c>
      <c r="E291" s="185">
        <f>'работа 3 добр'!D407</f>
        <v>3.35</v>
      </c>
    </row>
    <row r="292" spans="1:5" x14ac:dyDescent="0.25">
      <c r="C292" s="123" t="str">
        <f>'работа 3 добр'!A408</f>
        <v>Прессвол РОР-АР 3,5*2,3м</v>
      </c>
      <c r="D292" s="69">
        <f>'работа 3 добр'!B458</f>
        <v>0</v>
      </c>
      <c r="E292" s="185">
        <f>'работа 3 добр'!D458</f>
        <v>0</v>
      </c>
    </row>
    <row r="293" spans="1:5" x14ac:dyDescent="0.25">
      <c r="C293" s="123" t="str">
        <f>'работа 3 добр'!A409</f>
        <v>плинтус кабель-канал</v>
      </c>
      <c r="D293" s="69">
        <f>'работа 3 добр'!B459</f>
        <v>0</v>
      </c>
      <c r="E293" s="185">
        <f>'работа 3 добр'!D459</f>
        <v>0</v>
      </c>
    </row>
    <row r="294" spans="1:5" x14ac:dyDescent="0.25">
      <c r="C294" s="123" t="str">
        <f>'работа 3 добр'!A410</f>
        <v>валик малярный L</v>
      </c>
      <c r="D294" s="69">
        <f>'работа 3 добр'!B460</f>
        <v>0</v>
      </c>
      <c r="E294" s="185">
        <f>'работа 3 добр'!D460</f>
        <v>0</v>
      </c>
    </row>
    <row r="295" spans="1:5" x14ac:dyDescent="0.25">
      <c r="C295" s="123" t="str">
        <f>'работа 3 добр'!A411</f>
        <v>валик малярный профи</v>
      </c>
      <c r="D295" s="69">
        <f>'работа 3 добр'!B461</f>
        <v>0</v>
      </c>
      <c r="E295" s="185">
        <f>'работа 3 добр'!D461</f>
        <v>0</v>
      </c>
    </row>
    <row r="296" spans="1:5" x14ac:dyDescent="0.25">
      <c r="C296" s="123" t="str">
        <f>'работа 3 добр'!A412</f>
        <v>кабель-канал</v>
      </c>
      <c r="D296" s="69">
        <f>'работа 3 добр'!B462</f>
        <v>0</v>
      </c>
      <c r="E296" s="185">
        <f>'работа 3 добр'!D462</f>
        <v>0</v>
      </c>
    </row>
    <row r="297" spans="1:5" x14ac:dyDescent="0.25">
      <c r="C297" s="123" t="str">
        <f>'работа 3 добр'!A413</f>
        <v>ванночка малярная</v>
      </c>
      <c r="D297" s="69">
        <f>'работа 3 добр'!B463</f>
        <v>0</v>
      </c>
      <c r="E297" s="185">
        <f>'работа 3 добр'!D463</f>
        <v>0</v>
      </c>
    </row>
    <row r="298" spans="1:5" x14ac:dyDescent="0.25">
      <c r="C298" s="123" t="str">
        <f>'работа 3 добр'!A414</f>
        <v>шайба крановая</v>
      </c>
      <c r="D298" s="69">
        <f>'работа 3 добр'!B464</f>
        <v>0</v>
      </c>
      <c r="E298" s="185">
        <f>'работа 3 добр'!D464</f>
        <v>0</v>
      </c>
    </row>
    <row r="299" spans="1:5" x14ac:dyDescent="0.25">
      <c r="C299" s="123" t="str">
        <f>'работа 3 добр'!A415</f>
        <v>эмаль аэрозоль</v>
      </c>
      <c r="D299" s="69">
        <f>'работа 3 добр'!B465</f>
        <v>0</v>
      </c>
      <c r="E299" s="185">
        <f>'работа 3 добр'!D465</f>
        <v>0</v>
      </c>
    </row>
    <row r="300" spans="1:5" x14ac:dyDescent="0.25">
      <c r="C300" s="123" t="str">
        <f>'работа 3 добр'!A416</f>
        <v>Папка-регистратор</v>
      </c>
      <c r="D300" s="69">
        <f>'работа 3 добр'!B466</f>
        <v>0</v>
      </c>
      <c r="E300" s="185">
        <f>'работа 3 добр'!D466</f>
        <v>0</v>
      </c>
    </row>
    <row r="301" spans="1:5" x14ac:dyDescent="0.25">
      <c r="C301" s="123" t="str">
        <f>'работа 3 добр'!A417</f>
        <v>Блок питания</v>
      </c>
      <c r="D301" s="69">
        <f>'работа 3 добр'!B467</f>
        <v>0</v>
      </c>
      <c r="E301" s="185">
        <f>'работа 3 добр'!D467</f>
        <v>0</v>
      </c>
    </row>
    <row r="302" spans="1:5" x14ac:dyDescent="0.25">
      <c r="C302" s="123" t="str">
        <f>'работа 3 добр'!A418</f>
        <v>Кабель</v>
      </c>
      <c r="D302" s="69">
        <f>'работа 3 добр'!B468</f>
        <v>0</v>
      </c>
      <c r="E302" s="185">
        <f>'работа 3 добр'!D468</f>
        <v>0</v>
      </c>
    </row>
    <row r="303" spans="1:5" x14ac:dyDescent="0.25">
      <c r="C303" s="123" t="str">
        <f>'работа 3 добр'!A419</f>
        <v>Карта памяти</v>
      </c>
      <c r="D303" s="69">
        <f>'работа 3 добр'!B469</f>
        <v>0</v>
      </c>
      <c r="E303" s="185">
        <f>'работа 3 добр'!D469</f>
        <v>0</v>
      </c>
    </row>
    <row r="304" spans="1:5" x14ac:dyDescent="0.25">
      <c r="C304" s="123" t="str">
        <f>'работа 3 добр'!A420</f>
        <v>Кабель</v>
      </c>
      <c r="D304" s="69">
        <f>'работа 3 добр'!B470</f>
        <v>0</v>
      </c>
      <c r="E304" s="185">
        <f>'работа 3 добр'!D470</f>
        <v>0</v>
      </c>
    </row>
    <row r="305" spans="3:5" x14ac:dyDescent="0.25">
      <c r="C305" s="123" t="str">
        <f>'работа 3 добр'!A421</f>
        <v>Бумага Lomond 230</v>
      </c>
      <c r="D305" s="69">
        <f>'работа 3 добр'!B471</f>
        <v>0</v>
      </c>
      <c r="E305" s="185">
        <f>'работа 3 добр'!D471</f>
        <v>0</v>
      </c>
    </row>
    <row r="306" spans="3:5" x14ac:dyDescent="0.25">
      <c r="C306" s="123" t="str">
        <f>'работа 3 добр'!A422</f>
        <v>Бумага Lomond 140</v>
      </c>
      <c r="D306" s="69">
        <f>'работа 3 добр'!B472</f>
        <v>0</v>
      </c>
      <c r="E306" s="185">
        <f>'работа 3 добр'!D472</f>
        <v>0</v>
      </c>
    </row>
    <row r="307" spans="3:5" x14ac:dyDescent="0.25">
      <c r="C307" s="123" t="str">
        <f>'работа 3 добр'!A423</f>
        <v>Бумага Lomond 200</v>
      </c>
      <c r="D307" s="69">
        <f>'работа 3 добр'!B473</f>
        <v>0</v>
      </c>
      <c r="E307" s="185">
        <f>'работа 3 добр'!D473</f>
        <v>0</v>
      </c>
    </row>
    <row r="308" spans="3:5" x14ac:dyDescent="0.25">
      <c r="C308" s="123" t="str">
        <f>'работа 3 добр'!A424</f>
        <v>Бумага Cactus 180</v>
      </c>
      <c r="D308" s="69">
        <f>'работа 3 добр'!B474</f>
        <v>0</v>
      </c>
      <c r="E308" s="185">
        <f>'работа 3 добр'!D474</f>
        <v>0</v>
      </c>
    </row>
    <row r="309" spans="3:5" x14ac:dyDescent="0.25">
      <c r="C309" s="123" t="str">
        <f>'работа 3 добр'!A425</f>
        <v>Бумага Cactus 230</v>
      </c>
      <c r="D309" s="69">
        <f>'работа 3 добр'!B475</f>
        <v>0</v>
      </c>
      <c r="E309" s="185">
        <f>'работа 3 добр'!D475</f>
        <v>0</v>
      </c>
    </row>
    <row r="310" spans="3:5" hidden="1" x14ac:dyDescent="0.25">
      <c r="C310" s="123">
        <f>'работа 3 добр'!A426</f>
        <v>0</v>
      </c>
      <c r="D310" s="69">
        <f>'работа 3 добр'!B476</f>
        <v>0</v>
      </c>
      <c r="E310" s="185">
        <f>'работа 3 добр'!D476</f>
        <v>0</v>
      </c>
    </row>
    <row r="311" spans="3:5" hidden="1" x14ac:dyDescent="0.25">
      <c r="C311" s="123">
        <f>'работа 3 добр'!A427</f>
        <v>0</v>
      </c>
      <c r="D311" s="69">
        <f>'работа 3 добр'!B477</f>
        <v>0</v>
      </c>
      <c r="E311" s="185">
        <f>'работа 3 добр'!D477</f>
        <v>0</v>
      </c>
    </row>
    <row r="312" spans="3:5" hidden="1" x14ac:dyDescent="0.25">
      <c r="C312" s="123">
        <f>'работа 3 добр'!A428</f>
        <v>0</v>
      </c>
      <c r="D312" s="69">
        <f>'работа 3 добр'!B478</f>
        <v>0</v>
      </c>
      <c r="E312" s="185">
        <f>'работа 3 добр'!D478</f>
        <v>0</v>
      </c>
    </row>
    <row r="313" spans="3:5" hidden="1" x14ac:dyDescent="0.25">
      <c r="C313" s="123">
        <f>'работа 3 добр'!A429</f>
        <v>0</v>
      </c>
      <c r="D313" s="69">
        <f>'работа 3 добр'!B479</f>
        <v>0</v>
      </c>
      <c r="E313" s="185">
        <f>'работа 3 добр'!D479</f>
        <v>0</v>
      </c>
    </row>
    <row r="314" spans="3:5" hidden="1" x14ac:dyDescent="0.25">
      <c r="C314" s="123">
        <f>'работа 3 добр'!A430</f>
        <v>0</v>
      </c>
    </row>
    <row r="315" spans="3:5" hidden="1" x14ac:dyDescent="0.25">
      <c r="C315" s="123">
        <f>'работа 3 добр'!A431</f>
        <v>0</v>
      </c>
    </row>
    <row r="316" spans="3:5" hidden="1" x14ac:dyDescent="0.25">
      <c r="C316" s="123">
        <f>'работа 3 добр'!A432</f>
        <v>0</v>
      </c>
    </row>
    <row r="317" spans="3:5" hidden="1" x14ac:dyDescent="0.25">
      <c r="C317" s="123">
        <f>'работа 3 добр'!A433</f>
        <v>0</v>
      </c>
    </row>
    <row r="318" spans="3:5" hidden="1" x14ac:dyDescent="0.25">
      <c r="C318" s="123">
        <f>'работа 3 добр'!A434</f>
        <v>0</v>
      </c>
    </row>
    <row r="319" spans="3:5" hidden="1" x14ac:dyDescent="0.25">
      <c r="C319" s="123">
        <f>'работа 3 добр'!A435</f>
        <v>0</v>
      </c>
    </row>
    <row r="320" spans="3:5" hidden="1" x14ac:dyDescent="0.25">
      <c r="C320" s="123">
        <f>'работа 3 добр'!A436</f>
        <v>0</v>
      </c>
    </row>
    <row r="321" spans="3:3" hidden="1" x14ac:dyDescent="0.25">
      <c r="C321" s="123">
        <f>'работа 3 добр'!A437</f>
        <v>0</v>
      </c>
    </row>
    <row r="322" spans="3:3" hidden="1" x14ac:dyDescent="0.25">
      <c r="C322" s="123">
        <f>'работа 3 добр'!A438</f>
        <v>0</v>
      </c>
    </row>
    <row r="323" spans="3:3" hidden="1" x14ac:dyDescent="0.25">
      <c r="C323" s="123">
        <f>'работа 3 добр'!A439</f>
        <v>0</v>
      </c>
    </row>
    <row r="324" spans="3:3" hidden="1" x14ac:dyDescent="0.25">
      <c r="C324" s="123">
        <f>'работа 3 добр'!A440</f>
        <v>0</v>
      </c>
    </row>
    <row r="325" spans="3:3" hidden="1" x14ac:dyDescent="0.25">
      <c r="C325" s="123">
        <f>'работа 3 добр'!A441</f>
        <v>0</v>
      </c>
    </row>
    <row r="326" spans="3:3" hidden="1" x14ac:dyDescent="0.25">
      <c r="C326" s="123">
        <f>'работа 3 добр'!A442</f>
        <v>0</v>
      </c>
    </row>
    <row r="327" spans="3:3" hidden="1" x14ac:dyDescent="0.25">
      <c r="C327" s="123">
        <f>'работа 3 добр'!A443</f>
        <v>0</v>
      </c>
    </row>
    <row r="328" spans="3:3" hidden="1" x14ac:dyDescent="0.25">
      <c r="C328" s="123">
        <f>'работа 3 добр'!A444</f>
        <v>0</v>
      </c>
    </row>
    <row r="329" spans="3:3" hidden="1" x14ac:dyDescent="0.25">
      <c r="C329" s="123">
        <f>'работа 3 добр'!A445</f>
        <v>0</v>
      </c>
    </row>
    <row r="330" spans="3:3" hidden="1" x14ac:dyDescent="0.25">
      <c r="C330" s="123">
        <f>'работа 3 добр'!A446</f>
        <v>0</v>
      </c>
    </row>
    <row r="331" spans="3:3" hidden="1" x14ac:dyDescent="0.25">
      <c r="C331" s="123">
        <f>'работа 3 добр'!A447</f>
        <v>0</v>
      </c>
    </row>
    <row r="332" spans="3:3" hidden="1" x14ac:dyDescent="0.25">
      <c r="C332" s="123">
        <f>'работа 3 добр'!A448</f>
        <v>0</v>
      </c>
    </row>
    <row r="333" spans="3:3" hidden="1" x14ac:dyDescent="0.25">
      <c r="C333" s="123">
        <f>'работа 3 добр'!A449</f>
        <v>0</v>
      </c>
    </row>
    <row r="334" spans="3:3" hidden="1" x14ac:dyDescent="0.25">
      <c r="C334" s="123">
        <f>'работа 3 добр'!A450</f>
        <v>0</v>
      </c>
    </row>
    <row r="335" spans="3:3" hidden="1" x14ac:dyDescent="0.25">
      <c r="C335" s="123">
        <f>'работа 3 добр'!A451</f>
        <v>0</v>
      </c>
    </row>
    <row r="336" spans="3:3" hidden="1" x14ac:dyDescent="0.25">
      <c r="C336" s="123">
        <f>'работа 3 добр'!A452</f>
        <v>0</v>
      </c>
    </row>
    <row r="337" spans="3:3" hidden="1" x14ac:dyDescent="0.25">
      <c r="C337" s="123">
        <f>'работа 3 добр'!A453</f>
        <v>0</v>
      </c>
    </row>
    <row r="338" spans="3:3" hidden="1" x14ac:dyDescent="0.25">
      <c r="C338" s="123">
        <f>'работа 3 добр'!A454</f>
        <v>0</v>
      </c>
    </row>
    <row r="339" spans="3:3" hidden="1" x14ac:dyDescent="0.25">
      <c r="C339" s="123">
        <f>'работа 3 добр'!A455</f>
        <v>0</v>
      </c>
    </row>
    <row r="340" spans="3:3" hidden="1" x14ac:dyDescent="0.25">
      <c r="C340" s="123">
        <f>'работа 3 добр'!A456</f>
        <v>0</v>
      </c>
    </row>
    <row r="341" spans="3:3" hidden="1" x14ac:dyDescent="0.25">
      <c r="C341" s="123">
        <f>'работа 3 добр'!A457</f>
        <v>0</v>
      </c>
    </row>
    <row r="342" spans="3:3" hidden="1" x14ac:dyDescent="0.25">
      <c r="C342" s="123">
        <f>'работа 3 добр'!A458</f>
        <v>0</v>
      </c>
    </row>
    <row r="343" spans="3:3" hidden="1" x14ac:dyDescent="0.25">
      <c r="C343" s="123">
        <f>'работа 3 добр'!A459</f>
        <v>0</v>
      </c>
    </row>
    <row r="344" spans="3:3" hidden="1" x14ac:dyDescent="0.25">
      <c r="C344" s="123">
        <f>'работа 3 добр'!A460</f>
        <v>0</v>
      </c>
    </row>
    <row r="345" spans="3:3" hidden="1" x14ac:dyDescent="0.25">
      <c r="C345" s="123">
        <f>'работа 3 добр'!A461</f>
        <v>0</v>
      </c>
    </row>
    <row r="346" spans="3:3" hidden="1" x14ac:dyDescent="0.25">
      <c r="C346" s="123">
        <f>'работа 3 добр'!A462</f>
        <v>0</v>
      </c>
    </row>
    <row r="347" spans="3:3" hidden="1" x14ac:dyDescent="0.25">
      <c r="C347" s="123">
        <f>'работа 3 добр'!A463</f>
        <v>0</v>
      </c>
    </row>
    <row r="348" spans="3:3" hidden="1" x14ac:dyDescent="0.25">
      <c r="C348" s="123">
        <f>'работа 3 добр'!A464</f>
        <v>0</v>
      </c>
    </row>
    <row r="349" spans="3:3" hidden="1" x14ac:dyDescent="0.25">
      <c r="C349" s="123">
        <f>'работа 3 добр'!A465</f>
        <v>0</v>
      </c>
    </row>
    <row r="350" spans="3:3" hidden="1" x14ac:dyDescent="0.25">
      <c r="C350" s="123">
        <f>'работа 3 добр'!A466</f>
        <v>0</v>
      </c>
    </row>
    <row r="351" spans="3:3" hidden="1" x14ac:dyDescent="0.25">
      <c r="C351" s="123">
        <f>'работа 3 добр'!A467</f>
        <v>0</v>
      </c>
    </row>
    <row r="352" spans="3:3" hidden="1" x14ac:dyDescent="0.25">
      <c r="C352" s="123">
        <f>'работа 3 добр'!A468</f>
        <v>0</v>
      </c>
    </row>
    <row r="353" spans="3:3" hidden="1" x14ac:dyDescent="0.25">
      <c r="C353" s="123">
        <f>'работа 3 добр'!A469</f>
        <v>0</v>
      </c>
    </row>
    <row r="354" spans="3:3" hidden="1" x14ac:dyDescent="0.25">
      <c r="C354" s="123">
        <f>'работа 3 добр'!A470</f>
        <v>0</v>
      </c>
    </row>
    <row r="355" spans="3:3" hidden="1" x14ac:dyDescent="0.25">
      <c r="C355" s="123">
        <f>'работа 3 добр'!A471</f>
        <v>0</v>
      </c>
    </row>
    <row r="356" spans="3:3" hidden="1" x14ac:dyDescent="0.25">
      <c r="C356" s="123">
        <f>'работа 3 добр'!A472</f>
        <v>0</v>
      </c>
    </row>
    <row r="357" spans="3:3" hidden="1" x14ac:dyDescent="0.25">
      <c r="C357" s="123">
        <f>'работа 3 добр'!A473</f>
        <v>0</v>
      </c>
    </row>
    <row r="358" spans="3:3" hidden="1" x14ac:dyDescent="0.25">
      <c r="C358" s="123">
        <f>'работа 3 добр'!A474</f>
        <v>0</v>
      </c>
    </row>
    <row r="359" spans="3:3" hidden="1" x14ac:dyDescent="0.25">
      <c r="C359" s="123">
        <f>'работа 3 добр'!A475</f>
        <v>0</v>
      </c>
    </row>
    <row r="360" spans="3:3" hidden="1" x14ac:dyDescent="0.25">
      <c r="C360" s="123">
        <f>'работа 3 добр'!A476</f>
        <v>0</v>
      </c>
    </row>
    <row r="361" spans="3:3" hidden="1" x14ac:dyDescent="0.25">
      <c r="C361" s="123">
        <f>'работа 3 добр'!A477</f>
        <v>0</v>
      </c>
    </row>
    <row r="362" spans="3:3" hidden="1" x14ac:dyDescent="0.25">
      <c r="C362" s="123">
        <f>'работа 3 добр'!A478</f>
        <v>0</v>
      </c>
    </row>
    <row r="363" spans="3:3" hidden="1" x14ac:dyDescent="0.25">
      <c r="C363" s="123">
        <f>'работа 3 добр'!A479</f>
        <v>0</v>
      </c>
    </row>
    <row r="364" spans="3:3" hidden="1" x14ac:dyDescent="0.25">
      <c r="C364" s="123">
        <f>'работа 3 добр'!A480</f>
        <v>0</v>
      </c>
    </row>
    <row r="365" spans="3:3" hidden="1" x14ac:dyDescent="0.25">
      <c r="C365" s="123">
        <f>'работа 3 добр'!A481</f>
        <v>0</v>
      </c>
    </row>
    <row r="366" spans="3:3" hidden="1" x14ac:dyDescent="0.25">
      <c r="C366" s="123">
        <f>'работа 3 добр'!A482</f>
        <v>0</v>
      </c>
    </row>
    <row r="367" spans="3:3" hidden="1" x14ac:dyDescent="0.25">
      <c r="C367" s="123">
        <f>'работа 3 добр'!A483</f>
        <v>0</v>
      </c>
    </row>
    <row r="368" spans="3:3" hidden="1" x14ac:dyDescent="0.25">
      <c r="C368" s="123">
        <f>'работа 3 добр'!A484</f>
        <v>0</v>
      </c>
    </row>
    <row r="369" spans="3:3" hidden="1" x14ac:dyDescent="0.25">
      <c r="C369" s="123">
        <f>'работа 3 добр'!A485</f>
        <v>0</v>
      </c>
    </row>
    <row r="370" spans="3:3" hidden="1" x14ac:dyDescent="0.25">
      <c r="C370" s="123">
        <f>'работа 3 добр'!A486</f>
        <v>0</v>
      </c>
    </row>
    <row r="371" spans="3:3" hidden="1" x14ac:dyDescent="0.25">
      <c r="C371" s="123">
        <f>'работа 3 добр'!A487</f>
        <v>0</v>
      </c>
    </row>
    <row r="372" spans="3:3" hidden="1" x14ac:dyDescent="0.25">
      <c r="C372" s="123">
        <f>'работа 3 добр'!A488</f>
        <v>0</v>
      </c>
    </row>
    <row r="373" spans="3:3" hidden="1" x14ac:dyDescent="0.25">
      <c r="C373" s="123">
        <f>'работа 3 добр'!A489</f>
        <v>0</v>
      </c>
    </row>
    <row r="374" spans="3:3" hidden="1" x14ac:dyDescent="0.25">
      <c r="C374" s="123">
        <f>'работа 3 добр'!A490</f>
        <v>0</v>
      </c>
    </row>
    <row r="375" spans="3:3" hidden="1" x14ac:dyDescent="0.25">
      <c r="C375" s="123">
        <f>'работа 3 добр'!A491</f>
        <v>0</v>
      </c>
    </row>
    <row r="376" spans="3:3" hidden="1" x14ac:dyDescent="0.25">
      <c r="C376" s="123">
        <f>'работа 3 добр'!A492</f>
        <v>0</v>
      </c>
    </row>
    <row r="377" spans="3:3" hidden="1" x14ac:dyDescent="0.25">
      <c r="C377" s="123">
        <f>'работа 3 добр'!A493</f>
        <v>0</v>
      </c>
    </row>
    <row r="378" spans="3:3" hidden="1" x14ac:dyDescent="0.25">
      <c r="C378" s="123">
        <f>'работа 3 добр'!A494</f>
        <v>0</v>
      </c>
    </row>
    <row r="379" spans="3:3" hidden="1" x14ac:dyDescent="0.25">
      <c r="C379" s="123">
        <f>'работа 3 добр'!A495</f>
        <v>0</v>
      </c>
    </row>
    <row r="380" spans="3:3" hidden="1" x14ac:dyDescent="0.25">
      <c r="C380" s="123">
        <f>'работа 3 добр'!A496</f>
        <v>0</v>
      </c>
    </row>
    <row r="381" spans="3:3" hidden="1" x14ac:dyDescent="0.25"/>
  </sheetData>
  <mergeCells count="18">
    <mergeCell ref="C36:E36"/>
    <mergeCell ref="C43:E43"/>
    <mergeCell ref="D1:E1"/>
    <mergeCell ref="A3:E3"/>
    <mergeCell ref="A4:E4"/>
    <mergeCell ref="C7:E7"/>
    <mergeCell ref="C8:E8"/>
    <mergeCell ref="B7:B291"/>
    <mergeCell ref="A7:A291"/>
    <mergeCell ref="C69:E69"/>
    <mergeCell ref="C77:E77"/>
    <mergeCell ref="C87:E87"/>
    <mergeCell ref="C94:E94"/>
    <mergeCell ref="C11:E11"/>
    <mergeCell ref="C82:E82"/>
    <mergeCell ref="C91:E91"/>
    <mergeCell ref="C15:E15"/>
    <mergeCell ref="C35:E35"/>
  </mergeCells>
  <pageMargins left="0.70866141732283472" right="0.70866141732283472" top="0.74803149606299213" bottom="0.74803149606299213" header="0.31496062992125984" footer="0.31496062992125984"/>
  <pageSetup paperSize="9" scale="57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7"/>
  <sheetViews>
    <sheetView view="pageBreakPreview" topLeftCell="A401" zoomScale="85" zoomScaleNormal="70" zoomScaleSheetLayoutView="85" workbookViewId="0">
      <selection sqref="A1:I439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35" t="str">
        <f>'работа 1 иниц'!A1:F1</f>
        <v>Учреждение: Муниципальное бюджетное учреждение  «Молодежный центр » Северо- Енисейского района</v>
      </c>
      <c r="B1" s="535"/>
      <c r="C1" s="535"/>
      <c r="D1" s="535"/>
      <c r="E1" s="535"/>
      <c r="F1" s="535"/>
      <c r="G1" s="535"/>
      <c r="H1" s="535"/>
      <c r="I1" s="535"/>
    </row>
    <row r="2" spans="1:10" x14ac:dyDescent="0.25">
      <c r="A2" s="254" t="str">
        <f>'работа 1 иниц'!A2</f>
        <v>на 06.05.2019 год</v>
      </c>
      <c r="B2" s="254"/>
      <c r="C2" s="254"/>
      <c r="D2" s="254"/>
    </row>
    <row r="3" spans="1:10" ht="48" customHeight="1" x14ac:dyDescent="0.25">
      <c r="A3" s="40" t="s">
        <v>425</v>
      </c>
      <c r="B3" s="535" t="s">
        <v>55</v>
      </c>
      <c r="C3" s="535"/>
      <c r="D3" s="535"/>
      <c r="E3" s="535"/>
      <c r="F3" s="535"/>
      <c r="G3" s="535"/>
      <c r="H3" s="535"/>
      <c r="J3" s="189"/>
    </row>
    <row r="4" spans="1:10" x14ac:dyDescent="0.25">
      <c r="A4" s="536" t="s">
        <v>127</v>
      </c>
      <c r="B4" s="536"/>
      <c r="C4" s="536"/>
      <c r="D4" s="536"/>
      <c r="E4" s="536"/>
    </row>
    <row r="5" spans="1:10" x14ac:dyDescent="0.25">
      <c r="A5" s="537" t="s">
        <v>45</v>
      </c>
      <c r="B5" s="537"/>
      <c r="C5" s="537"/>
      <c r="D5" s="537"/>
      <c r="E5" s="537"/>
    </row>
    <row r="6" spans="1:10" x14ac:dyDescent="0.25">
      <c r="A6" s="537" t="s">
        <v>307</v>
      </c>
      <c r="B6" s="537"/>
      <c r="C6" s="537"/>
      <c r="D6" s="537"/>
      <c r="E6" s="537"/>
    </row>
    <row r="7" spans="1:10" ht="29.25" customHeight="1" x14ac:dyDescent="0.25">
      <c r="A7" s="493" t="s">
        <v>217</v>
      </c>
      <c r="B7" s="493"/>
      <c r="C7" s="493"/>
      <c r="D7" s="493"/>
      <c r="E7" s="493"/>
    </row>
    <row r="8" spans="1:10" ht="15.75" x14ac:dyDescent="0.25">
      <c r="A8" s="540" t="s">
        <v>52</v>
      </c>
      <c r="B8" s="540"/>
      <c r="C8" s="540"/>
      <c r="D8" s="540"/>
      <c r="E8" s="540"/>
      <c r="F8" s="3"/>
    </row>
    <row r="9" spans="1:10" ht="31.5" x14ac:dyDescent="0.25">
      <c r="A9" s="112" t="s">
        <v>34</v>
      </c>
      <c r="B9" s="70" t="s">
        <v>9</v>
      </c>
      <c r="C9" s="71"/>
      <c r="D9" s="541" t="s">
        <v>10</v>
      </c>
      <c r="E9" s="542"/>
      <c r="F9" s="265" t="s">
        <v>9</v>
      </c>
    </row>
    <row r="10" spans="1:10" ht="15.75" x14ac:dyDescent="0.25">
      <c r="A10" s="112"/>
      <c r="B10" s="264"/>
      <c r="C10" s="264"/>
      <c r="D10" s="543" t="s">
        <v>228</v>
      </c>
      <c r="E10" s="544"/>
      <c r="F10" s="72">
        <v>1</v>
      </c>
    </row>
    <row r="11" spans="1:10" ht="15.75" x14ac:dyDescent="0.25">
      <c r="A11" s="70" t="s">
        <v>108</v>
      </c>
      <c r="B11" s="264">
        <v>1</v>
      </c>
      <c r="C11" s="264"/>
      <c r="D11" s="256" t="str">
        <f>'[1]2016'!$AE$25</f>
        <v>Водитель</v>
      </c>
      <c r="E11" s="257"/>
      <c r="F11" s="264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264">
        <v>5.6</v>
      </c>
      <c r="C12" s="264"/>
      <c r="D12" s="545" t="s">
        <v>101</v>
      </c>
      <c r="E12" s="546"/>
      <c r="F12" s="264">
        <v>0.5</v>
      </c>
    </row>
    <row r="13" spans="1:10" ht="15.6" customHeight="1" x14ac:dyDescent="0.25">
      <c r="A13" s="70"/>
      <c r="B13" s="264"/>
      <c r="C13" s="264"/>
      <c r="D13" s="256" t="str">
        <f>'[1]2016'!$AE$26</f>
        <v xml:space="preserve">Уборщик служебных помещений </v>
      </c>
      <c r="E13" s="257"/>
      <c r="F13" s="264">
        <v>1</v>
      </c>
    </row>
    <row r="14" spans="1:10" ht="15.75" x14ac:dyDescent="0.25">
      <c r="A14" s="73" t="s">
        <v>63</v>
      </c>
      <c r="B14" s="74">
        <f>SUM(B10:B12)</f>
        <v>6.6</v>
      </c>
      <c r="C14" s="73"/>
      <c r="D14" s="547" t="s">
        <v>63</v>
      </c>
      <c r="E14" s="548"/>
      <c r="F14" s="74">
        <f>SUM(F10:F13)</f>
        <v>3.5</v>
      </c>
    </row>
    <row r="15" spans="1:10" x14ac:dyDescent="0.25">
      <c r="A15" s="41" t="s">
        <v>46</v>
      </c>
    </row>
    <row r="16" spans="1:10" x14ac:dyDescent="0.25">
      <c r="A16" s="538" t="s">
        <v>218</v>
      </c>
      <c r="B16" s="538"/>
      <c r="C16" s="538"/>
      <c r="D16" s="538"/>
      <c r="E16" s="538"/>
      <c r="F16" s="538"/>
    </row>
    <row r="17" spans="1:10" x14ac:dyDescent="0.25">
      <c r="A17" s="42" t="s">
        <v>219</v>
      </c>
      <c r="B17" s="42"/>
      <c r="C17" s="42"/>
      <c r="D17" s="42"/>
    </row>
    <row r="18" spans="1:10" x14ac:dyDescent="0.25">
      <c r="A18" s="539" t="s">
        <v>48</v>
      </c>
      <c r="B18" s="539"/>
      <c r="C18" s="539"/>
      <c r="D18" s="539"/>
      <c r="E18" s="539"/>
      <c r="F18" s="539"/>
    </row>
    <row r="19" spans="1:10" x14ac:dyDescent="0.25">
      <c r="A19" s="534" t="s">
        <v>98</v>
      </c>
      <c r="B19" s="534"/>
      <c r="C19" s="253"/>
      <c r="D19" s="43">
        <v>0.33500000000000002</v>
      </c>
      <c r="E19" s="43"/>
    </row>
    <row r="20" spans="1:10" ht="15.6" customHeight="1" x14ac:dyDescent="0.25">
      <c r="A20" s="488" t="s">
        <v>0</v>
      </c>
      <c r="B20" s="488" t="s">
        <v>1</v>
      </c>
      <c r="C20" s="242"/>
      <c r="D20" s="488" t="s">
        <v>2</v>
      </c>
      <c r="E20" s="489" t="s">
        <v>3</v>
      </c>
      <c r="F20" s="490"/>
      <c r="G20" s="521" t="s">
        <v>35</v>
      </c>
      <c r="H20" s="242" t="s">
        <v>5</v>
      </c>
      <c r="I20" s="488" t="s">
        <v>6</v>
      </c>
    </row>
    <row r="21" spans="1:10" ht="30" x14ac:dyDescent="0.25">
      <c r="A21" s="488"/>
      <c r="B21" s="488"/>
      <c r="C21" s="242"/>
      <c r="D21" s="488"/>
      <c r="E21" s="242" t="s">
        <v>220</v>
      </c>
      <c r="F21" s="242" t="s">
        <v>223</v>
      </c>
      <c r="G21" s="521"/>
      <c r="H21" s="242" t="s">
        <v>57</v>
      </c>
      <c r="I21" s="488"/>
    </row>
    <row r="22" spans="1:10" x14ac:dyDescent="0.25">
      <c r="A22" s="488"/>
      <c r="B22" s="488"/>
      <c r="C22" s="242"/>
      <c r="D22" s="488"/>
      <c r="E22" s="242" t="s">
        <v>4</v>
      </c>
      <c r="F22" s="53"/>
      <c r="G22" s="521"/>
      <c r="H22" s="242" t="s">
        <v>221</v>
      </c>
      <c r="I22" s="488"/>
    </row>
    <row r="23" spans="1:10" x14ac:dyDescent="0.25">
      <c r="A23" s="488">
        <v>1</v>
      </c>
      <c r="B23" s="488">
        <v>2</v>
      </c>
      <c r="C23" s="242"/>
      <c r="D23" s="488">
        <v>3</v>
      </c>
      <c r="E23" s="488" t="s">
        <v>222</v>
      </c>
      <c r="F23" s="488">
        <v>5</v>
      </c>
      <c r="G23" s="521" t="s">
        <v>7</v>
      </c>
      <c r="H23" s="242" t="s">
        <v>58</v>
      </c>
      <c r="I23" s="488" t="s">
        <v>59</v>
      </c>
    </row>
    <row r="24" spans="1:10" x14ac:dyDescent="0.25">
      <c r="A24" s="488"/>
      <c r="B24" s="488"/>
      <c r="C24" s="242"/>
      <c r="D24" s="488"/>
      <c r="E24" s="488"/>
      <c r="F24" s="488"/>
      <c r="G24" s="521"/>
      <c r="H24" s="54">
        <v>1775.4</v>
      </c>
      <c r="I24" s="488"/>
    </row>
    <row r="25" spans="1:10" x14ac:dyDescent="0.25">
      <c r="A25" s="55" t="str">
        <f>'работа 2 пат'!A24</f>
        <v>Методист</v>
      </c>
      <c r="B25" s="93">
        <v>53969.5</v>
      </c>
      <c r="C25" s="93"/>
      <c r="D25" s="242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56">
        <f>G25*H25+10277.9</f>
        <v>292756.42178000003</v>
      </c>
    </row>
    <row r="26" spans="1:10" x14ac:dyDescent="0.25">
      <c r="A26" s="139" t="str">
        <f>A12</f>
        <v>Специалист по работе с молодежью</v>
      </c>
      <c r="B26" s="190">
        <v>38488.199999999997</v>
      </c>
      <c r="C26" s="190"/>
      <c r="D26" s="242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56">
        <f>G26*H26+10277.9+10278.11</f>
        <v>1148669.1686367998</v>
      </c>
    </row>
    <row r="27" spans="1:10" x14ac:dyDescent="0.25">
      <c r="A27" s="55" t="s">
        <v>8</v>
      </c>
      <c r="B27" s="58"/>
      <c r="C27" s="58"/>
      <c r="D27" s="242">
        <f>SUM(D25:D26)</f>
        <v>2.2109999999999999</v>
      </c>
      <c r="E27" s="56"/>
      <c r="F27" s="57"/>
      <c r="G27" s="191"/>
      <c r="H27" s="94"/>
      <c r="I27" s="290">
        <f>SUM(I25:I26)-0.02</f>
        <v>1441425.5704167997</v>
      </c>
    </row>
    <row r="28" spans="1:10" x14ac:dyDescent="0.25">
      <c r="A28" s="161"/>
      <c r="B28" s="162"/>
      <c r="C28" s="162"/>
      <c r="D28" s="241"/>
      <c r="E28" s="163"/>
      <c r="F28" s="164"/>
      <c r="G28" s="192"/>
      <c r="H28" s="193"/>
      <c r="I28" s="194"/>
    </row>
    <row r="29" spans="1:10" ht="14.45" hidden="1" customHeight="1" x14ac:dyDescent="0.25">
      <c r="A29" s="499" t="s">
        <v>189</v>
      </c>
      <c r="B29" s="499"/>
      <c r="C29" s="499"/>
      <c r="D29" s="499"/>
      <c r="E29" s="499"/>
      <c r="F29" s="499"/>
      <c r="G29" s="499"/>
      <c r="H29" s="499"/>
      <c r="I29" s="166"/>
      <c r="J29" s="166"/>
    </row>
    <row r="30" spans="1:10" hidden="1" x14ac:dyDescent="0.25">
      <c r="A30" s="501" t="s">
        <v>67</v>
      </c>
      <c r="B30" s="522" t="s">
        <v>178</v>
      </c>
      <c r="C30" s="522"/>
      <c r="D30" s="522" t="s">
        <v>179</v>
      </c>
      <c r="E30" s="522"/>
      <c r="F30" s="522"/>
      <c r="G30" s="530"/>
      <c r="H30" s="530"/>
    </row>
    <row r="31" spans="1:10" hidden="1" x14ac:dyDescent="0.25">
      <c r="A31" s="502"/>
      <c r="B31" s="522"/>
      <c r="C31" s="522"/>
      <c r="D31" s="522" t="s">
        <v>180</v>
      </c>
      <c r="E31" s="501" t="s">
        <v>181</v>
      </c>
      <c r="F31" s="531" t="s">
        <v>182</v>
      </c>
      <c r="G31" s="501" t="s">
        <v>188</v>
      </c>
      <c r="H31" s="501" t="s">
        <v>6</v>
      </c>
    </row>
    <row r="32" spans="1:10" hidden="1" x14ac:dyDescent="0.25">
      <c r="A32" s="503"/>
      <c r="B32" s="522"/>
      <c r="C32" s="522"/>
      <c r="D32" s="522"/>
      <c r="E32" s="503"/>
      <c r="F32" s="531"/>
      <c r="G32" s="503"/>
      <c r="H32" s="503"/>
    </row>
    <row r="33" spans="1:10" hidden="1" x14ac:dyDescent="0.25">
      <c r="A33" s="250">
        <v>1</v>
      </c>
      <c r="B33" s="515">
        <v>2</v>
      </c>
      <c r="C33" s="516"/>
      <c r="D33" s="250">
        <v>3</v>
      </c>
      <c r="E33" s="250">
        <v>4</v>
      </c>
      <c r="F33" s="250">
        <v>5</v>
      </c>
      <c r="G33" s="195">
        <v>6</v>
      </c>
      <c r="H33" s="195">
        <v>7</v>
      </c>
    </row>
    <row r="34" spans="1:10" hidden="1" x14ac:dyDescent="0.25">
      <c r="A34" s="237" t="s">
        <v>108</v>
      </c>
      <c r="B34" s="237">
        <v>0.36699999999999999</v>
      </c>
      <c r="C34" s="238">
        <v>1</v>
      </c>
      <c r="D34" s="165">
        <v>2074.6</v>
      </c>
      <c r="E34" s="124">
        <f t="shared" ref="E34:E35" si="0">D34*12</f>
        <v>24895.199999999997</v>
      </c>
      <c r="F34" s="165">
        <f>18363.9*0.367</f>
        <v>6739.5513000000001</v>
      </c>
      <c r="G34" s="196">
        <f>F34*30.2%</f>
        <v>2035.3444926</v>
      </c>
      <c r="H34" s="196">
        <f>F34+G34</f>
        <v>8774.8957926000003</v>
      </c>
    </row>
    <row r="35" spans="1:10" hidden="1" x14ac:dyDescent="0.25">
      <c r="A35" s="237" t="s">
        <v>184</v>
      </c>
      <c r="B35" s="515">
        <f>5.6*0.367</f>
        <v>2.0551999999999997</v>
      </c>
      <c r="C35" s="516"/>
      <c r="D35" s="165">
        <f>1302.85*B35</f>
        <v>2677.6173199999994</v>
      </c>
      <c r="E35" s="124">
        <f t="shared" si="0"/>
        <v>32131.407839999993</v>
      </c>
      <c r="F35" s="165">
        <f>64311.87*0.367</f>
        <v>23602.456290000002</v>
      </c>
      <c r="G35" s="196">
        <f>F35*30.2%</f>
        <v>7127.9417995800004</v>
      </c>
      <c r="H35" s="196">
        <f>F35+G35</f>
        <v>30730.398089580001</v>
      </c>
    </row>
    <row r="36" spans="1:10" hidden="1" x14ac:dyDescent="0.25">
      <c r="A36" s="251"/>
      <c r="B36" s="523">
        <f>SUM(B34:C35)</f>
        <v>3.4221999999999997</v>
      </c>
      <c r="C36" s="523"/>
      <c r="D36" s="141">
        <f>SUM(D34:D35)</f>
        <v>4752.2173199999997</v>
      </c>
      <c r="E36" s="141">
        <f>SUM(E34:E35)</f>
        <v>57026.60783999999</v>
      </c>
      <c r="F36" s="141">
        <f>SUM(F34:F35)</f>
        <v>30342.007590000001</v>
      </c>
      <c r="G36" s="141">
        <f>SUM(G34:G35)</f>
        <v>9163.2862921800006</v>
      </c>
      <c r="H36" s="141"/>
    </row>
    <row r="37" spans="1:10" hidden="1" x14ac:dyDescent="0.25">
      <c r="A37" s="161"/>
      <c r="B37" s="162"/>
      <c r="C37" s="162"/>
      <c r="D37" s="241"/>
      <c r="E37" s="163"/>
      <c r="F37" s="164"/>
      <c r="G37" s="192"/>
      <c r="H37" s="193"/>
      <c r="I37" s="194"/>
    </row>
    <row r="38" spans="1:10" ht="14.45" hidden="1" customHeight="1" x14ac:dyDescent="0.25">
      <c r="A38" s="499" t="s">
        <v>193</v>
      </c>
      <c r="B38" s="499"/>
      <c r="C38" s="499"/>
      <c r="D38" s="499"/>
      <c r="E38" s="499"/>
      <c r="F38" s="499"/>
      <c r="G38" s="499"/>
      <c r="H38" s="499"/>
      <c r="I38" s="166"/>
      <c r="J38" s="166"/>
    </row>
    <row r="39" spans="1:10" ht="28.9" hidden="1" customHeight="1" x14ac:dyDescent="0.25">
      <c r="A39" s="501" t="s">
        <v>67</v>
      </c>
      <c r="B39" s="522" t="s">
        <v>178</v>
      </c>
      <c r="C39" s="522"/>
      <c r="D39" s="510" t="s">
        <v>179</v>
      </c>
      <c r="E39" s="512"/>
      <c r="F39" s="252"/>
      <c r="G39" s="38"/>
    </row>
    <row r="40" spans="1:10" ht="14.45" hidden="1" customHeight="1" x14ac:dyDescent="0.25">
      <c r="A40" s="502"/>
      <c r="B40" s="522"/>
      <c r="C40" s="522"/>
      <c r="D40" s="522" t="s">
        <v>180</v>
      </c>
      <c r="E40" s="501" t="s">
        <v>188</v>
      </c>
      <c r="F40" s="501" t="s">
        <v>192</v>
      </c>
      <c r="G40" s="38"/>
    </row>
    <row r="41" spans="1:10" hidden="1" x14ac:dyDescent="0.25">
      <c r="A41" s="503"/>
      <c r="B41" s="522"/>
      <c r="C41" s="522"/>
      <c r="D41" s="522"/>
      <c r="E41" s="503"/>
      <c r="F41" s="503"/>
      <c r="G41" s="38"/>
    </row>
    <row r="42" spans="1:10" hidden="1" x14ac:dyDescent="0.25">
      <c r="A42" s="250">
        <v>1</v>
      </c>
      <c r="B42" s="515">
        <v>2</v>
      </c>
      <c r="C42" s="516"/>
      <c r="D42" s="250">
        <v>3</v>
      </c>
      <c r="E42" s="195">
        <v>6</v>
      </c>
      <c r="F42" s="195">
        <v>7</v>
      </c>
      <c r="G42" s="38"/>
    </row>
    <row r="43" spans="1:10" hidden="1" x14ac:dyDescent="0.25">
      <c r="A43" s="237" t="s">
        <v>184</v>
      </c>
      <c r="B43" s="515">
        <f>5.6*0.367</f>
        <v>2.0551999999999997</v>
      </c>
      <c r="C43" s="516"/>
      <c r="D43" s="165">
        <v>4218.1400000000003</v>
      </c>
      <c r="E43" s="196">
        <f>D43*30.2%</f>
        <v>1273.8782800000001</v>
      </c>
      <c r="F43" s="196">
        <f>(E43+D43)*B43*12+0.64</f>
        <v>135446.991628672</v>
      </c>
      <c r="G43" s="38"/>
    </row>
    <row r="44" spans="1:10" hidden="1" x14ac:dyDescent="0.25">
      <c r="A44" s="251"/>
      <c r="B44" s="523">
        <f>SUM(B43:C43)</f>
        <v>2.0551999999999997</v>
      </c>
      <c r="C44" s="523"/>
      <c r="D44" s="141">
        <f>SUM(D43:D43)</f>
        <v>4218.1400000000003</v>
      </c>
      <c r="E44" s="141">
        <f>SUM(E43:E43)</f>
        <v>1273.8782800000001</v>
      </c>
      <c r="F44" s="141"/>
      <c r="G44" s="38"/>
    </row>
    <row r="45" spans="1:10" x14ac:dyDescent="0.25">
      <c r="A45" s="161"/>
      <c r="B45" s="162"/>
      <c r="C45" s="162"/>
      <c r="D45" s="241"/>
      <c r="E45" s="163"/>
      <c r="F45" s="164"/>
      <c r="G45" s="192"/>
      <c r="H45" s="193"/>
      <c r="I45" s="194"/>
    </row>
    <row r="46" spans="1:10" x14ac:dyDescent="0.25">
      <c r="A46" s="161"/>
      <c r="B46" s="162"/>
      <c r="C46" s="162"/>
      <c r="D46" s="241"/>
      <c r="E46" s="163"/>
      <c r="F46" s="164"/>
      <c r="G46" s="192"/>
      <c r="H46" s="193"/>
      <c r="I46" s="194"/>
    </row>
    <row r="47" spans="1:10" x14ac:dyDescent="0.25">
      <c r="A47" s="498" t="s">
        <v>65</v>
      </c>
      <c r="B47" s="498"/>
      <c r="C47" s="498"/>
      <c r="D47" s="498"/>
      <c r="E47" s="498"/>
      <c r="F47" s="498"/>
      <c r="J47" s="197">
        <f>I27</f>
        <v>1441425.5704167997</v>
      </c>
    </row>
    <row r="48" spans="1:10" x14ac:dyDescent="0.25">
      <c r="A48" s="255" t="s">
        <v>90</v>
      </c>
      <c r="B48" s="44" t="s">
        <v>244</v>
      </c>
      <c r="C48" s="44"/>
      <c r="D48" s="44"/>
      <c r="E48" s="45"/>
      <c r="F48" s="45"/>
      <c r="J48" s="39">
        <f>G97</f>
        <v>704214.7191300001</v>
      </c>
    </row>
    <row r="49" spans="1:11" x14ac:dyDescent="0.25">
      <c r="D49" s="46">
        <f>D19</f>
        <v>0.33500000000000002</v>
      </c>
      <c r="J49" s="39">
        <f>J47+J48</f>
        <v>2145640.2895467998</v>
      </c>
      <c r="K49" s="38" t="s">
        <v>119</v>
      </c>
    </row>
    <row r="50" spans="1:11" x14ac:dyDescent="0.25">
      <c r="A50" s="488" t="s">
        <v>27</v>
      </c>
      <c r="B50" s="488"/>
      <c r="C50" s="242"/>
      <c r="D50" s="488" t="s">
        <v>11</v>
      </c>
      <c r="E50" s="525" t="s">
        <v>53</v>
      </c>
      <c r="F50" s="525" t="s">
        <v>15</v>
      </c>
      <c r="G50" s="517" t="s">
        <v>6</v>
      </c>
      <c r="J50" s="39">
        <v>2145642.91</v>
      </c>
      <c r="K50" s="38" t="s">
        <v>120</v>
      </c>
    </row>
    <row r="51" spans="1:11" hidden="1" x14ac:dyDescent="0.25">
      <c r="A51" s="488"/>
      <c r="B51" s="488"/>
      <c r="C51" s="242"/>
      <c r="D51" s="488"/>
      <c r="E51" s="526"/>
      <c r="F51" s="526"/>
      <c r="G51" s="518"/>
    </row>
    <row r="52" spans="1:11" x14ac:dyDescent="0.25">
      <c r="A52" s="489">
        <v>1</v>
      </c>
      <c r="B52" s="490"/>
      <c r="C52" s="244"/>
      <c r="D52" s="242">
        <v>2</v>
      </c>
      <c r="E52" s="57">
        <v>3</v>
      </c>
      <c r="F52" s="242">
        <v>4</v>
      </c>
      <c r="G52" s="59" t="s">
        <v>75</v>
      </c>
      <c r="J52" s="39">
        <f>J50-J49</f>
        <v>2.6204532003030181</v>
      </c>
    </row>
    <row r="53" spans="1:11" x14ac:dyDescent="0.25">
      <c r="A53" s="237" t="s">
        <v>239</v>
      </c>
      <c r="B53" s="269"/>
      <c r="C53" s="269"/>
      <c r="D53" s="250" t="s">
        <v>243</v>
      </c>
      <c r="E53" s="250">
        <f>D49</f>
        <v>0.33500000000000002</v>
      </c>
      <c r="F53" s="249">
        <v>13500</v>
      </c>
      <c r="G53" s="59">
        <f>E53*F53</f>
        <v>4522.5</v>
      </c>
    </row>
    <row r="54" spans="1:11" x14ac:dyDescent="0.25">
      <c r="A54" s="237" t="s">
        <v>240</v>
      </c>
      <c r="B54" s="269"/>
      <c r="C54" s="269"/>
      <c r="D54" s="250" t="s">
        <v>39</v>
      </c>
      <c r="E54" s="250">
        <v>0.33500000000000002</v>
      </c>
      <c r="F54" s="249">
        <v>60000</v>
      </c>
      <c r="G54" s="59">
        <f>E54*F54</f>
        <v>20100</v>
      </c>
    </row>
    <row r="55" spans="1:11" x14ac:dyDescent="0.25">
      <c r="A55" s="237" t="s">
        <v>241</v>
      </c>
      <c r="B55" s="269"/>
      <c r="C55" s="269"/>
      <c r="D55" s="250" t="s">
        <v>243</v>
      </c>
      <c r="E55" s="250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237" t="s">
        <v>242</v>
      </c>
      <c r="B56" s="269"/>
      <c r="C56" s="269"/>
      <c r="D56" s="250" t="s">
        <v>243</v>
      </c>
      <c r="E56" s="250">
        <v>0.33500000000000002</v>
      </c>
      <c r="F56" s="58">
        <v>3375</v>
      </c>
      <c r="G56" s="59">
        <f>E56*F56</f>
        <v>1130.625</v>
      </c>
    </row>
    <row r="57" spans="1:11" x14ac:dyDescent="0.25">
      <c r="A57" s="477" t="s">
        <v>64</v>
      </c>
      <c r="B57" s="478"/>
      <c r="C57" s="239"/>
      <c r="D57" s="60"/>
      <c r="E57" s="60"/>
      <c r="F57" s="60"/>
      <c r="G57" s="291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498" t="s">
        <v>91</v>
      </c>
      <c r="B59" s="498"/>
      <c r="C59" s="498"/>
      <c r="D59" s="498"/>
      <c r="E59" s="498"/>
      <c r="F59" s="498"/>
    </row>
    <row r="60" spans="1:11" ht="14.45" customHeight="1" x14ac:dyDescent="0.25">
      <c r="D60" s="46"/>
      <c r="F60" s="38">
        <v>1</v>
      </c>
    </row>
    <row r="61" spans="1:11" x14ac:dyDescent="0.25">
      <c r="A61" s="488" t="s">
        <v>139</v>
      </c>
      <c r="B61" s="488"/>
      <c r="C61" s="242"/>
      <c r="D61" s="488" t="s">
        <v>11</v>
      </c>
      <c r="E61" s="525" t="s">
        <v>53</v>
      </c>
      <c r="F61" s="525" t="s">
        <v>15</v>
      </c>
      <c r="G61" s="517" t="s">
        <v>6</v>
      </c>
    </row>
    <row r="62" spans="1:11" ht="15" hidden="1" customHeight="1" x14ac:dyDescent="0.25">
      <c r="A62" s="488"/>
      <c r="B62" s="488"/>
      <c r="C62" s="242"/>
      <c r="D62" s="488"/>
      <c r="E62" s="526"/>
      <c r="F62" s="526"/>
      <c r="G62" s="518"/>
    </row>
    <row r="63" spans="1:11" x14ac:dyDescent="0.25">
      <c r="A63" s="694">
        <v>1</v>
      </c>
      <c r="B63" s="695"/>
      <c r="C63" s="244"/>
      <c r="D63" s="242">
        <v>2</v>
      </c>
      <c r="E63" s="242">
        <v>3</v>
      </c>
      <c r="F63" s="242">
        <v>4</v>
      </c>
      <c r="G63" s="59" t="s">
        <v>75</v>
      </c>
    </row>
    <row r="64" spans="1:11" x14ac:dyDescent="0.25">
      <c r="A64" s="682" t="s">
        <v>231</v>
      </c>
      <c r="B64" s="683"/>
      <c r="C64" s="683"/>
      <c r="D64" s="690"/>
      <c r="E64" s="690"/>
      <c r="F64" s="690"/>
      <c r="G64" s="59"/>
    </row>
    <row r="65" spans="1:7" x14ac:dyDescent="0.25">
      <c r="A65" s="366" t="s">
        <v>232</v>
      </c>
      <c r="B65" s="367"/>
      <c r="C65" s="367"/>
      <c r="D65" s="368" t="s">
        <v>143</v>
      </c>
      <c r="E65" s="368">
        <v>5</v>
      </c>
      <c r="F65" s="368">
        <v>1343.6</v>
      </c>
      <c r="G65" s="59">
        <f t="shared" ref="G65:G83" si="1">E65*F65</f>
        <v>6718</v>
      </c>
    </row>
    <row r="66" spans="1:7" x14ac:dyDescent="0.25">
      <c r="A66" s="305" t="s">
        <v>233</v>
      </c>
      <c r="B66" s="679"/>
      <c r="C66" s="679"/>
      <c r="D66" s="209" t="s">
        <v>531</v>
      </c>
      <c r="E66" s="209">
        <v>5</v>
      </c>
      <c r="F66" s="209">
        <v>1800</v>
      </c>
      <c r="G66" s="59">
        <f t="shared" si="1"/>
        <v>9000</v>
      </c>
    </row>
    <row r="67" spans="1:7" x14ac:dyDescent="0.25">
      <c r="A67" s="685" t="s">
        <v>234</v>
      </c>
      <c r="B67" s="686"/>
      <c r="C67" s="686"/>
      <c r="D67" s="691"/>
      <c r="E67" s="691"/>
      <c r="F67" s="691"/>
      <c r="G67" s="59"/>
    </row>
    <row r="68" spans="1:7" x14ac:dyDescent="0.25">
      <c r="A68" s="100" t="s">
        <v>516</v>
      </c>
      <c r="B68" s="687"/>
      <c r="C68" s="687"/>
      <c r="D68" s="102" t="s">
        <v>93</v>
      </c>
      <c r="E68" s="102">
        <v>10</v>
      </c>
      <c r="F68" s="102">
        <v>1300</v>
      </c>
      <c r="G68" s="59">
        <f t="shared" si="1"/>
        <v>13000</v>
      </c>
    </row>
    <row r="69" spans="1:7" x14ac:dyDescent="0.25">
      <c r="A69" s="100" t="s">
        <v>517</v>
      </c>
      <c r="B69" s="687"/>
      <c r="C69" s="687"/>
      <c r="D69" s="102" t="s">
        <v>93</v>
      </c>
      <c r="E69" s="102">
        <v>6</v>
      </c>
      <c r="F69" s="102">
        <v>1900</v>
      </c>
      <c r="G69" s="59">
        <f t="shared" si="1"/>
        <v>11400</v>
      </c>
    </row>
    <row r="70" spans="1:7" x14ac:dyDescent="0.25">
      <c r="A70" s="100" t="s">
        <v>518</v>
      </c>
      <c r="B70" s="687"/>
      <c r="C70" s="687"/>
      <c r="D70" s="102" t="s">
        <v>93</v>
      </c>
      <c r="E70" s="102">
        <v>1</v>
      </c>
      <c r="F70" s="102">
        <v>4800</v>
      </c>
      <c r="G70" s="59">
        <f t="shared" si="1"/>
        <v>4800</v>
      </c>
    </row>
    <row r="71" spans="1:7" x14ac:dyDescent="0.25">
      <c r="A71" s="302" t="s">
        <v>519</v>
      </c>
      <c r="B71" s="304"/>
      <c r="C71" s="304"/>
      <c r="D71" s="692" t="s">
        <v>93</v>
      </c>
      <c r="E71" s="107">
        <v>2</v>
      </c>
      <c r="F71" s="107">
        <v>2400</v>
      </c>
      <c r="G71" s="59">
        <f t="shared" si="1"/>
        <v>4800</v>
      </c>
    </row>
    <row r="72" spans="1:7" x14ac:dyDescent="0.25">
      <c r="A72" s="305" t="s">
        <v>520</v>
      </c>
      <c r="B72" s="679"/>
      <c r="C72" s="679"/>
      <c r="D72" s="209" t="s">
        <v>93</v>
      </c>
      <c r="E72" s="209">
        <v>3</v>
      </c>
      <c r="F72" s="107">
        <v>2800</v>
      </c>
      <c r="G72" s="59">
        <f t="shared" si="1"/>
        <v>8400</v>
      </c>
    </row>
    <row r="73" spans="1:7" x14ac:dyDescent="0.25">
      <c r="A73" s="305" t="s">
        <v>521</v>
      </c>
      <c r="B73" s="679"/>
      <c r="C73" s="679"/>
      <c r="D73" s="209" t="s">
        <v>93</v>
      </c>
      <c r="E73" s="209">
        <v>5</v>
      </c>
      <c r="F73" s="107">
        <v>2500</v>
      </c>
      <c r="G73" s="59">
        <f t="shared" si="1"/>
        <v>12500</v>
      </c>
    </row>
    <row r="74" spans="1:7" x14ac:dyDescent="0.25">
      <c r="A74" s="305" t="s">
        <v>522</v>
      </c>
      <c r="B74" s="679"/>
      <c r="C74" s="679"/>
      <c r="D74" s="209" t="s">
        <v>93</v>
      </c>
      <c r="E74" s="209">
        <v>1</v>
      </c>
      <c r="F74" s="107">
        <v>2800</v>
      </c>
      <c r="G74" s="59">
        <f t="shared" si="1"/>
        <v>2800</v>
      </c>
    </row>
    <row r="75" spans="1:7" x14ac:dyDescent="0.25">
      <c r="A75" s="305" t="s">
        <v>523</v>
      </c>
      <c r="B75" s="679"/>
      <c r="C75" s="679"/>
      <c r="D75" s="209" t="s">
        <v>93</v>
      </c>
      <c r="E75" s="209">
        <v>22</v>
      </c>
      <c r="F75" s="107">
        <v>300</v>
      </c>
      <c r="G75" s="59">
        <f t="shared" si="1"/>
        <v>6600</v>
      </c>
    </row>
    <row r="76" spans="1:7" x14ac:dyDescent="0.25">
      <c r="A76" s="302" t="s">
        <v>524</v>
      </c>
      <c r="B76" s="304"/>
      <c r="C76" s="304"/>
      <c r="D76" s="692" t="s">
        <v>93</v>
      </c>
      <c r="E76" s="107">
        <v>3</v>
      </c>
      <c r="F76" s="107">
        <v>2800</v>
      </c>
      <c r="G76" s="59">
        <f t="shared" si="1"/>
        <v>8400</v>
      </c>
    </row>
    <row r="77" spans="1:7" ht="18" customHeight="1" x14ac:dyDescent="0.25">
      <c r="A77" s="302" t="s">
        <v>525</v>
      </c>
      <c r="B77" s="304"/>
      <c r="C77" s="304"/>
      <c r="D77" s="692" t="s">
        <v>93</v>
      </c>
      <c r="E77" s="107">
        <v>3</v>
      </c>
      <c r="F77" s="107">
        <v>2000</v>
      </c>
      <c r="G77" s="59">
        <f t="shared" si="1"/>
        <v>6000</v>
      </c>
    </row>
    <row r="78" spans="1:7" x14ac:dyDescent="0.25">
      <c r="A78" s="680" t="s">
        <v>236</v>
      </c>
      <c r="B78" s="681"/>
      <c r="C78" s="681"/>
      <c r="D78" s="693"/>
      <c r="E78" s="693"/>
      <c r="F78" s="693"/>
      <c r="G78" s="59"/>
    </row>
    <row r="79" spans="1:7" x14ac:dyDescent="0.25">
      <c r="A79" s="305" t="s">
        <v>526</v>
      </c>
      <c r="B79" s="679"/>
      <c r="C79" s="679"/>
      <c r="D79" s="209" t="s">
        <v>93</v>
      </c>
      <c r="E79" s="209">
        <v>50</v>
      </c>
      <c r="F79" s="209">
        <v>200</v>
      </c>
      <c r="G79" s="59">
        <f t="shared" si="1"/>
        <v>10000</v>
      </c>
    </row>
    <row r="80" spans="1:7" x14ac:dyDescent="0.25">
      <c r="A80" s="305" t="s">
        <v>527</v>
      </c>
      <c r="B80" s="679"/>
      <c r="C80" s="679"/>
      <c r="D80" s="209" t="s">
        <v>93</v>
      </c>
      <c r="E80" s="209">
        <v>200</v>
      </c>
      <c r="F80" s="209">
        <v>70</v>
      </c>
      <c r="G80" s="59">
        <f t="shared" si="1"/>
        <v>14000</v>
      </c>
    </row>
    <row r="81" spans="1:7" x14ac:dyDescent="0.25">
      <c r="A81" s="305" t="s">
        <v>528</v>
      </c>
      <c r="B81" s="679"/>
      <c r="C81" s="679"/>
      <c r="D81" s="209" t="s">
        <v>93</v>
      </c>
      <c r="E81" s="209">
        <v>200</v>
      </c>
      <c r="F81" s="209">
        <v>62.5</v>
      </c>
      <c r="G81" s="59">
        <f t="shared" si="1"/>
        <v>12500</v>
      </c>
    </row>
    <row r="82" spans="1:7" ht="14.45" customHeight="1" x14ac:dyDescent="0.25">
      <c r="A82" s="680" t="s">
        <v>237</v>
      </c>
      <c r="B82" s="681"/>
      <c r="C82" s="681"/>
      <c r="D82" s="693"/>
      <c r="E82" s="693"/>
      <c r="F82" s="693"/>
      <c r="G82" s="59"/>
    </row>
    <row r="83" spans="1:7" x14ac:dyDescent="0.25">
      <c r="A83" s="305" t="s">
        <v>208</v>
      </c>
      <c r="B83" s="679"/>
      <c r="C83" s="679"/>
      <c r="D83" s="209" t="s">
        <v>93</v>
      </c>
      <c r="E83" s="209">
        <v>90</v>
      </c>
      <c r="F83" s="209">
        <v>150</v>
      </c>
      <c r="G83" s="59">
        <f t="shared" si="1"/>
        <v>13500</v>
      </c>
    </row>
    <row r="84" spans="1:7" x14ac:dyDescent="0.25">
      <c r="A84" s="684" t="s">
        <v>529</v>
      </c>
      <c r="B84" s="681"/>
      <c r="C84" s="681"/>
      <c r="D84" s="693"/>
      <c r="E84" s="693"/>
      <c r="F84" s="693"/>
      <c r="G84" s="59"/>
    </row>
    <row r="85" spans="1:7" x14ac:dyDescent="0.25">
      <c r="A85" s="305" t="s">
        <v>530</v>
      </c>
      <c r="B85" s="679"/>
      <c r="C85" s="679"/>
      <c r="D85" s="209" t="s">
        <v>255</v>
      </c>
      <c r="E85" s="209">
        <v>2</v>
      </c>
      <c r="F85" s="209">
        <v>1291</v>
      </c>
      <c r="G85" s="59">
        <f t="shared" ref="G85" si="2">E85*F85</f>
        <v>2582</v>
      </c>
    </row>
    <row r="86" spans="1:7" x14ac:dyDescent="0.25">
      <c r="A86" s="696" t="s">
        <v>89</v>
      </c>
      <c r="B86" s="697"/>
      <c r="C86" s="372"/>
      <c r="D86" s="60"/>
      <c r="E86" s="60"/>
      <c r="F86" s="60"/>
      <c r="G86" s="291">
        <f>SUM(G65:G85)</f>
        <v>147000</v>
      </c>
    </row>
    <row r="87" spans="1:7" x14ac:dyDescent="0.25">
      <c r="E87" s="39"/>
    </row>
    <row r="88" spans="1:7" ht="14.45" customHeight="1" x14ac:dyDescent="0.25">
      <c r="A88" s="524" t="s">
        <v>49</v>
      </c>
      <c r="B88" s="524"/>
      <c r="C88" s="524"/>
      <c r="D88" s="524"/>
      <c r="E88" s="524"/>
      <c r="F88" s="524"/>
    </row>
    <row r="89" spans="1:7" x14ac:dyDescent="0.25">
      <c r="A89" s="47"/>
      <c r="B89" s="47"/>
      <c r="C89" s="47"/>
      <c r="D89" s="47"/>
      <c r="E89" s="47"/>
      <c r="F89" s="48">
        <f>D49</f>
        <v>0.33500000000000002</v>
      </c>
    </row>
    <row r="90" spans="1:7" ht="30" x14ac:dyDescent="0.25">
      <c r="A90" s="532" t="s">
        <v>0</v>
      </c>
      <c r="B90" s="533"/>
      <c r="C90" s="369"/>
      <c r="D90" s="369" t="s">
        <v>1</v>
      </c>
      <c r="E90" s="369" t="s">
        <v>2</v>
      </c>
      <c r="F90" s="369" t="s">
        <v>43</v>
      </c>
      <c r="G90" s="249" t="s">
        <v>6</v>
      </c>
    </row>
    <row r="91" spans="1:7" x14ac:dyDescent="0.25">
      <c r="A91" s="532">
        <v>1</v>
      </c>
      <c r="B91" s="533"/>
      <c r="C91" s="369"/>
      <c r="D91" s="369">
        <v>2</v>
      </c>
      <c r="E91" s="369">
        <v>3</v>
      </c>
      <c r="F91" s="369" t="s">
        <v>41</v>
      </c>
      <c r="G91" s="249" t="s">
        <v>42</v>
      </c>
    </row>
    <row r="92" spans="1:7" x14ac:dyDescent="0.25">
      <c r="A92" s="688" t="s">
        <v>228</v>
      </c>
      <c r="B92" s="689"/>
      <c r="C92" s="370"/>
      <c r="D92" s="64">
        <v>70153.25</v>
      </c>
      <c r="E92" s="382">
        <f>1*F89</f>
        <v>0.33500000000000002</v>
      </c>
      <c r="F92" s="65">
        <f>D92*E92</f>
        <v>23501.338750000003</v>
      </c>
      <c r="G92" s="249">
        <f>F92*12*1.302+1070-0.14</f>
        <v>368254.77663000009</v>
      </c>
    </row>
    <row r="93" spans="1:7" x14ac:dyDescent="0.25">
      <c r="A93" s="527" t="s">
        <v>164</v>
      </c>
      <c r="B93" s="528"/>
      <c r="C93" s="371"/>
      <c r="D93" s="64">
        <v>25675</v>
      </c>
      <c r="E93" s="369">
        <f>1*F89</f>
        <v>0.33500000000000002</v>
      </c>
      <c r="F93" s="65">
        <f>D93*E93</f>
        <v>8601.125</v>
      </c>
      <c r="G93" s="249">
        <f>F93*12*1.302</f>
        <v>134383.97700000001</v>
      </c>
    </row>
    <row r="94" spans="1:7" x14ac:dyDescent="0.25">
      <c r="A94" s="527" t="s">
        <v>101</v>
      </c>
      <c r="B94" s="528"/>
      <c r="C94" s="371"/>
      <c r="D94" s="64">
        <v>25675</v>
      </c>
      <c r="E94" s="369">
        <f>1*F89/2</f>
        <v>0.16750000000000001</v>
      </c>
      <c r="F94" s="65">
        <f>D94*E94</f>
        <v>4300.5625</v>
      </c>
      <c r="G94" s="249">
        <f>F94*12*1.302</f>
        <v>67191.988500000007</v>
      </c>
    </row>
    <row r="95" spans="1:7" x14ac:dyDescent="0.25">
      <c r="A95" s="476" t="s">
        <v>165</v>
      </c>
      <c r="B95" s="476"/>
      <c r="C95" s="243"/>
      <c r="D95" s="64">
        <v>25675</v>
      </c>
      <c r="E95" s="247">
        <f>1*F89</f>
        <v>0.33500000000000002</v>
      </c>
      <c r="F95" s="65">
        <f>D95*E95</f>
        <v>8601.125</v>
      </c>
      <c r="G95" s="249">
        <f>F95*12*1.302</f>
        <v>134383.97700000001</v>
      </c>
    </row>
    <row r="96" spans="1:7" hidden="1" x14ac:dyDescent="0.25">
      <c r="A96" s="476"/>
      <c r="B96" s="476"/>
      <c r="C96" s="243"/>
      <c r="D96" s="64"/>
      <c r="E96" s="247"/>
      <c r="F96" s="65"/>
      <c r="G96" s="249"/>
    </row>
    <row r="97" spans="1:8" x14ac:dyDescent="0.25">
      <c r="A97" s="491" t="s">
        <v>28</v>
      </c>
      <c r="B97" s="491"/>
      <c r="C97" s="491"/>
      <c r="D97" s="491"/>
      <c r="E97" s="491"/>
      <c r="F97" s="491"/>
      <c r="G97" s="290">
        <f>SUM(G92:G96)</f>
        <v>704214.7191300001</v>
      </c>
    </row>
    <row r="98" spans="1:8" x14ac:dyDescent="0.25">
      <c r="A98" s="167"/>
      <c r="B98" s="167"/>
      <c r="C98" s="167"/>
      <c r="D98" s="167"/>
      <c r="E98" s="167"/>
      <c r="F98" s="167"/>
      <c r="G98" s="194"/>
    </row>
    <row r="99" spans="1:8" x14ac:dyDescent="0.25">
      <c r="A99" s="167"/>
      <c r="B99" s="167"/>
      <c r="C99" s="167"/>
      <c r="D99" s="167"/>
      <c r="E99" s="167"/>
      <c r="F99" s="167"/>
      <c r="G99" s="194"/>
    </row>
    <row r="100" spans="1:8" hidden="1" x14ac:dyDescent="0.25">
      <c r="A100" s="499" t="s">
        <v>308</v>
      </c>
      <c r="B100" s="499"/>
      <c r="C100" s="499"/>
      <c r="D100" s="499"/>
      <c r="E100" s="499"/>
      <c r="F100" s="499"/>
      <c r="G100" s="499"/>
      <c r="H100" s="499"/>
    </row>
    <row r="101" spans="1:8" hidden="1" x14ac:dyDescent="0.25">
      <c r="A101" s="501" t="s">
        <v>67</v>
      </c>
      <c r="B101" s="522" t="s">
        <v>178</v>
      </c>
      <c r="C101" s="522"/>
      <c r="D101" s="522" t="s">
        <v>179</v>
      </c>
      <c r="E101" s="522"/>
      <c r="F101" s="522"/>
      <c r="G101" s="530"/>
      <c r="H101" s="530"/>
    </row>
    <row r="102" spans="1:8" hidden="1" x14ac:dyDescent="0.25">
      <c r="A102" s="502"/>
      <c r="B102" s="522"/>
      <c r="C102" s="522"/>
      <c r="D102" s="522" t="s">
        <v>180</v>
      </c>
      <c r="E102" s="501" t="s">
        <v>181</v>
      </c>
      <c r="F102" s="531" t="s">
        <v>182</v>
      </c>
      <c r="G102" s="501" t="s">
        <v>188</v>
      </c>
      <c r="H102" s="501" t="s">
        <v>6</v>
      </c>
    </row>
    <row r="103" spans="1:8" hidden="1" x14ac:dyDescent="0.25">
      <c r="A103" s="503"/>
      <c r="B103" s="522"/>
      <c r="C103" s="522"/>
      <c r="D103" s="522"/>
      <c r="E103" s="503"/>
      <c r="F103" s="531"/>
      <c r="G103" s="503"/>
      <c r="H103" s="503"/>
    </row>
    <row r="104" spans="1:8" hidden="1" x14ac:dyDescent="0.25">
      <c r="A104" s="250">
        <v>1</v>
      </c>
      <c r="B104" s="515">
        <v>2</v>
      </c>
      <c r="C104" s="516"/>
      <c r="D104" s="250">
        <v>3</v>
      </c>
      <c r="E104" s="250">
        <v>4</v>
      </c>
      <c r="F104" s="250">
        <v>5</v>
      </c>
      <c r="G104" s="195">
        <v>6</v>
      </c>
      <c r="H104" s="195">
        <v>7</v>
      </c>
    </row>
    <row r="105" spans="1:8" hidden="1" x14ac:dyDescent="0.25">
      <c r="A105" s="237" t="s">
        <v>183</v>
      </c>
      <c r="B105" s="250">
        <f>1*0.367</f>
        <v>0.36699999999999999</v>
      </c>
      <c r="C105" s="238">
        <v>1</v>
      </c>
      <c r="D105" s="165">
        <v>30497.8</v>
      </c>
      <c r="E105" s="124">
        <v>41441.4</v>
      </c>
      <c r="F105" s="165">
        <f>30497.8*B105</f>
        <v>11192.6926</v>
      </c>
      <c r="G105" s="196">
        <f>F105*30.2%</f>
        <v>3380.1931651999998</v>
      </c>
      <c r="H105" s="196">
        <f>F105+G105</f>
        <v>14572.885765200001</v>
      </c>
    </row>
    <row r="106" spans="1:8" hidden="1" x14ac:dyDescent="0.25">
      <c r="A106" s="237" t="s">
        <v>185</v>
      </c>
      <c r="B106" s="250">
        <f>1*0.367</f>
        <v>0.36699999999999999</v>
      </c>
      <c r="C106" s="238"/>
      <c r="D106" s="165">
        <v>8353.5499999999993</v>
      </c>
      <c r="E106" s="124">
        <v>11244.72</v>
      </c>
      <c r="F106" s="165">
        <f>8353.55*B106</f>
        <v>3065.7528499999999</v>
      </c>
      <c r="G106" s="196">
        <f t="shared" ref="G106:G109" si="3">F106*30.2%</f>
        <v>925.85736069999996</v>
      </c>
      <c r="H106" s="196">
        <f t="shared" ref="H106:H109" si="4">F106+G106</f>
        <v>3991.6102106999997</v>
      </c>
    </row>
    <row r="107" spans="1:8" hidden="1" x14ac:dyDescent="0.25">
      <c r="A107" s="237" t="s">
        <v>186</v>
      </c>
      <c r="B107" s="250">
        <f>0.5*0.367</f>
        <v>0.1835</v>
      </c>
      <c r="C107" s="238"/>
      <c r="D107" s="165">
        <v>3761.62</v>
      </c>
      <c r="E107" s="124">
        <v>4983</v>
      </c>
      <c r="F107" s="165">
        <f>3761.62*0.367</f>
        <v>1380.5145399999999</v>
      </c>
      <c r="G107" s="196">
        <f t="shared" si="3"/>
        <v>416.91539107999995</v>
      </c>
      <c r="H107" s="196">
        <f t="shared" si="4"/>
        <v>1797.4299310799997</v>
      </c>
    </row>
    <row r="108" spans="1:8" hidden="1" x14ac:dyDescent="0.25">
      <c r="A108" s="237" t="s">
        <v>165</v>
      </c>
      <c r="B108" s="250">
        <f>1*0.367</f>
        <v>0.36699999999999999</v>
      </c>
      <c r="C108" s="238"/>
      <c r="D108" s="165">
        <v>6266.1</v>
      </c>
      <c r="E108" s="124">
        <v>8398.2000000000007</v>
      </c>
      <c r="F108" s="165">
        <f>6266.1*0.367</f>
        <v>2299.6587</v>
      </c>
      <c r="G108" s="196">
        <f t="shared" si="3"/>
        <v>694.4969274</v>
      </c>
      <c r="H108" s="196">
        <f t="shared" si="4"/>
        <v>2994.1556274</v>
      </c>
    </row>
    <row r="109" spans="1:8" hidden="1" x14ac:dyDescent="0.25">
      <c r="A109" s="237" t="s">
        <v>187</v>
      </c>
      <c r="B109" s="250">
        <f>3*0.367</f>
        <v>1.101</v>
      </c>
      <c r="C109" s="238"/>
      <c r="D109" s="165">
        <v>20749.32</v>
      </c>
      <c r="E109" s="124">
        <v>28148.04</v>
      </c>
      <c r="F109" s="165">
        <f>20749.32*0.367</f>
        <v>7615.0004399999998</v>
      </c>
      <c r="G109" s="196">
        <f t="shared" si="3"/>
        <v>2299.7301328799999</v>
      </c>
      <c r="H109" s="196">
        <f t="shared" si="4"/>
        <v>9914.7305728800002</v>
      </c>
    </row>
    <row r="110" spans="1:8" hidden="1" x14ac:dyDescent="0.25">
      <c r="A110" s="168"/>
      <c r="B110" s="251"/>
      <c r="C110" s="169"/>
      <c r="D110" s="141">
        <f>SUM(D105:D109)</f>
        <v>69628.39</v>
      </c>
      <c r="E110" s="141">
        <f>SUM(E105:E109)</f>
        <v>94215.360000000015</v>
      </c>
      <c r="F110" s="141">
        <f>SUM(F105:F109)</f>
        <v>25553.619129999999</v>
      </c>
      <c r="G110" s="141">
        <f>SUM(G105:G109)</f>
        <v>7717.1929772599997</v>
      </c>
      <c r="H110" s="141"/>
    </row>
    <row r="111" spans="1:8" s="45" customFormat="1" ht="14.45" customHeight="1" x14ac:dyDescent="0.25">
      <c r="A111" s="499" t="s">
        <v>210</v>
      </c>
      <c r="B111" s="499"/>
      <c r="C111" s="499"/>
      <c r="D111" s="500"/>
      <c r="E111" s="500"/>
      <c r="F111" s="500"/>
      <c r="G111" s="500"/>
      <c r="H111" s="500"/>
    </row>
    <row r="112" spans="1:8" s="45" customFormat="1" ht="14.45" customHeight="1" x14ac:dyDescent="0.25">
      <c r="A112" s="501" t="s">
        <v>67</v>
      </c>
      <c r="B112" s="504" t="s">
        <v>178</v>
      </c>
      <c r="C112" s="505"/>
      <c r="D112" s="510"/>
      <c r="E112" s="511"/>
      <c r="F112" s="512"/>
      <c r="G112" s="235"/>
      <c r="H112" s="235"/>
    </row>
    <row r="113" spans="1:7" s="45" customFormat="1" ht="14.45" customHeight="1" x14ac:dyDescent="0.25">
      <c r="A113" s="502"/>
      <c r="B113" s="506"/>
      <c r="C113" s="507"/>
      <c r="D113" s="513" t="s">
        <v>182</v>
      </c>
      <c r="E113" s="502" t="s">
        <v>188</v>
      </c>
      <c r="F113" s="502" t="s">
        <v>6</v>
      </c>
    </row>
    <row r="114" spans="1:7" s="45" customFormat="1" x14ac:dyDescent="0.25">
      <c r="A114" s="503"/>
      <c r="B114" s="508"/>
      <c r="C114" s="509"/>
      <c r="D114" s="514"/>
      <c r="E114" s="503"/>
      <c r="F114" s="503"/>
    </row>
    <row r="115" spans="1:7" s="45" customFormat="1" x14ac:dyDescent="0.25">
      <c r="A115" s="250">
        <v>1</v>
      </c>
      <c r="B115" s="515">
        <v>2</v>
      </c>
      <c r="C115" s="516"/>
      <c r="D115" s="250">
        <v>5</v>
      </c>
      <c r="E115" s="250">
        <v>6</v>
      </c>
      <c r="F115" s="250">
        <v>7</v>
      </c>
    </row>
    <row r="116" spans="1:7" s="45" customFormat="1" x14ac:dyDescent="0.25">
      <c r="A116" s="237" t="s">
        <v>185</v>
      </c>
      <c r="B116" s="250">
        <f>B106</f>
        <v>0.36699999999999999</v>
      </c>
      <c r="C116" s="238"/>
      <c r="D116" s="165">
        <v>7439.37</v>
      </c>
      <c r="E116" s="202">
        <f t="shared" ref="E116:E118" si="5">D116*30.2%</f>
        <v>2246.6897399999998</v>
      </c>
      <c r="F116" s="202">
        <f>(D116+E116)*0.335</f>
        <v>3244.8300129000004</v>
      </c>
    </row>
    <row r="117" spans="1:7" s="45" customFormat="1" x14ac:dyDescent="0.25">
      <c r="A117" s="237" t="s">
        <v>186</v>
      </c>
      <c r="B117" s="250">
        <f t="shared" ref="B117:B118" si="6">B107</f>
        <v>0.1835</v>
      </c>
      <c r="C117" s="238"/>
      <c r="D117" s="165">
        <v>9900.81</v>
      </c>
      <c r="E117" s="202">
        <f t="shared" si="5"/>
        <v>2990.0446199999997</v>
      </c>
      <c r="F117" s="202">
        <f t="shared" ref="F117:F118" si="7">(D117+E117)*0.335</f>
        <v>4318.4362977000001</v>
      </c>
    </row>
    <row r="118" spans="1:7" s="45" customFormat="1" x14ac:dyDescent="0.25">
      <c r="A118" s="237" t="s">
        <v>165</v>
      </c>
      <c r="B118" s="250">
        <f t="shared" si="6"/>
        <v>0.36699999999999999</v>
      </c>
      <c r="C118" s="238"/>
      <c r="D118" s="165">
        <v>36423.26</v>
      </c>
      <c r="E118" s="202">
        <f t="shared" si="5"/>
        <v>10999.82452</v>
      </c>
      <c r="F118" s="202">
        <f t="shared" si="7"/>
        <v>15886.733314200002</v>
      </c>
    </row>
    <row r="119" spans="1:7" s="45" customFormat="1" x14ac:dyDescent="0.25">
      <c r="A119" s="168"/>
      <c r="B119" s="251"/>
      <c r="C119" s="169"/>
      <c r="D119" s="141">
        <f>SUM(D116:D118)</f>
        <v>53763.44</v>
      </c>
      <c r="E119" s="141">
        <f>SUM(E116:E118)</f>
        <v>16236.55888</v>
      </c>
      <c r="F119" s="141">
        <f>SUM(F116:F118)</f>
        <v>23449.999624800002</v>
      </c>
    </row>
    <row r="120" spans="1:7" x14ac:dyDescent="0.25">
      <c r="A120" s="167"/>
      <c r="B120" s="167"/>
      <c r="C120" s="167"/>
      <c r="D120" s="167"/>
      <c r="E120" s="167"/>
      <c r="F120" s="167"/>
      <c r="G120" s="194"/>
    </row>
    <row r="121" spans="1:7" x14ac:dyDescent="0.25">
      <c r="A121" s="492" t="s">
        <v>128</v>
      </c>
      <c r="B121" s="492"/>
      <c r="C121" s="492"/>
      <c r="D121" s="492"/>
      <c r="E121" s="492"/>
      <c r="F121" s="492"/>
    </row>
    <row r="122" spans="1:7" ht="38.25" x14ac:dyDescent="0.25">
      <c r="A122" s="237" t="s">
        <v>129</v>
      </c>
      <c r="B122" s="250" t="s">
        <v>130</v>
      </c>
      <c r="C122" s="269"/>
      <c r="D122" s="250" t="s">
        <v>134</v>
      </c>
      <c r="E122" s="250" t="s">
        <v>131</v>
      </c>
      <c r="F122" s="250" t="s">
        <v>132</v>
      </c>
      <c r="G122" s="249" t="s">
        <v>6</v>
      </c>
    </row>
    <row r="123" spans="1:7" x14ac:dyDescent="0.25">
      <c r="A123" s="237">
        <v>1</v>
      </c>
      <c r="B123" s="250">
        <v>2</v>
      </c>
      <c r="C123" s="269"/>
      <c r="D123" s="250">
        <v>3</v>
      </c>
      <c r="E123" s="250">
        <v>4</v>
      </c>
      <c r="F123" s="250">
        <v>5</v>
      </c>
      <c r="G123" s="94" t="s">
        <v>247</v>
      </c>
    </row>
    <row r="124" spans="1:7" x14ac:dyDescent="0.25">
      <c r="A124" s="250" t="s">
        <v>133</v>
      </c>
      <c r="B124" s="250">
        <v>3</v>
      </c>
      <c r="C124" s="250"/>
      <c r="D124" s="250">
        <v>12</v>
      </c>
      <c r="E124" s="250">
        <v>75</v>
      </c>
      <c r="F124" s="124">
        <f>B124*D124*E124</f>
        <v>2700</v>
      </c>
      <c r="G124" s="95">
        <f>F124*F89</f>
        <v>904.5</v>
      </c>
    </row>
    <row r="125" spans="1:7" x14ac:dyDescent="0.25">
      <c r="A125" s="284" t="s">
        <v>309</v>
      </c>
      <c r="B125" s="285">
        <v>1</v>
      </c>
      <c r="C125" s="125">
        <v>5</v>
      </c>
      <c r="D125" s="125">
        <v>5</v>
      </c>
      <c r="E125" s="125">
        <v>21992.651999999998</v>
      </c>
      <c r="F125" s="124">
        <v>109963.26</v>
      </c>
      <c r="G125" s="124">
        <f>PRODUCT(F125,0.335)-0.01</f>
        <v>36837.682099999998</v>
      </c>
    </row>
    <row r="126" spans="1:7" x14ac:dyDescent="0.25">
      <c r="A126" s="284" t="s">
        <v>310</v>
      </c>
      <c r="B126" s="285">
        <v>1</v>
      </c>
      <c r="C126" s="125">
        <v>5</v>
      </c>
      <c r="D126" s="125">
        <v>5</v>
      </c>
      <c r="E126" s="125">
        <v>20452.009999999998</v>
      </c>
      <c r="F126" s="124">
        <v>102260.07</v>
      </c>
      <c r="G126" s="124">
        <f t="shared" ref="G126:G127" si="8">PRODUCT(F126,0.335)</f>
        <v>34257.123450000006</v>
      </c>
    </row>
    <row r="127" spans="1:7" x14ac:dyDescent="0.25">
      <c r="A127" s="284" t="s">
        <v>311</v>
      </c>
      <c r="B127" s="285">
        <v>1</v>
      </c>
      <c r="C127" s="125">
        <v>5</v>
      </c>
      <c r="D127" s="125">
        <v>5</v>
      </c>
      <c r="E127" s="125">
        <v>21031.16</v>
      </c>
      <c r="F127" s="124">
        <v>105155.82</v>
      </c>
      <c r="G127" s="124">
        <f t="shared" si="8"/>
        <v>35227.199700000005</v>
      </c>
    </row>
    <row r="128" spans="1:7" ht="14.45" customHeight="1" x14ac:dyDescent="0.25">
      <c r="A128" s="140"/>
      <c r="B128" s="140"/>
      <c r="C128" s="140"/>
      <c r="D128" s="140"/>
      <c r="E128" s="251" t="s">
        <v>102</v>
      </c>
      <c r="F128" s="141"/>
      <c r="G128" s="336">
        <f>G124+G125+G126+G127</f>
        <v>107226.50525000002</v>
      </c>
    </row>
    <row r="129" spans="1:6" x14ac:dyDescent="0.25">
      <c r="A129" s="50" t="s">
        <v>50</v>
      </c>
      <c r="B129" s="49"/>
      <c r="C129" s="49"/>
      <c r="D129" s="49"/>
      <c r="E129" s="49"/>
      <c r="F129" s="49"/>
    </row>
    <row r="130" spans="1:6" x14ac:dyDescent="0.25">
      <c r="A130" s="50" t="s">
        <v>94</v>
      </c>
      <c r="B130" s="49"/>
      <c r="C130" s="49"/>
      <c r="D130" s="49"/>
      <c r="E130" s="49"/>
      <c r="F130" s="49"/>
    </row>
    <row r="131" spans="1:6" x14ac:dyDescent="0.25">
      <c r="A131" s="493" t="s">
        <v>52</v>
      </c>
      <c r="B131" s="493"/>
      <c r="C131" s="493"/>
      <c r="D131" s="493"/>
      <c r="E131" s="493"/>
      <c r="F131" s="49"/>
    </row>
    <row r="132" spans="1:6" x14ac:dyDescent="0.25">
      <c r="A132" s="49"/>
      <c r="B132" s="49"/>
      <c r="C132" s="49"/>
      <c r="D132" s="49"/>
      <c r="E132" s="49"/>
      <c r="F132" s="51">
        <f>F89</f>
        <v>0.33500000000000002</v>
      </c>
    </row>
    <row r="133" spans="1:6" x14ac:dyDescent="0.25">
      <c r="A133" s="496" t="s">
        <v>13</v>
      </c>
      <c r="B133" s="496" t="s">
        <v>11</v>
      </c>
      <c r="C133" s="247"/>
      <c r="D133" s="496" t="s">
        <v>14</v>
      </c>
      <c r="E133" s="496" t="s">
        <v>15</v>
      </c>
      <c r="F133" s="496" t="s">
        <v>6</v>
      </c>
    </row>
    <row r="134" spans="1:6" x14ac:dyDescent="0.25">
      <c r="A134" s="496"/>
      <c r="B134" s="496"/>
      <c r="C134" s="247"/>
      <c r="D134" s="496"/>
      <c r="E134" s="496"/>
      <c r="F134" s="496"/>
    </row>
    <row r="135" spans="1:6" x14ac:dyDescent="0.25">
      <c r="A135" s="247">
        <v>1</v>
      </c>
      <c r="B135" s="247">
        <v>2</v>
      </c>
      <c r="C135" s="247"/>
      <c r="D135" s="247">
        <v>3</v>
      </c>
      <c r="E135" s="247">
        <v>4</v>
      </c>
      <c r="F135" s="247" t="s">
        <v>104</v>
      </c>
    </row>
    <row r="136" spans="1:6" x14ac:dyDescent="0.25">
      <c r="A136" s="237" t="s">
        <v>17</v>
      </c>
      <c r="B136" s="250" t="s">
        <v>18</v>
      </c>
      <c r="C136" s="250"/>
      <c r="D136" s="250">
        <f>F132*55</f>
        <v>18.425000000000001</v>
      </c>
      <c r="E136" s="250">
        <v>2974.26</v>
      </c>
      <c r="F136" s="58">
        <f>D136*E136</f>
        <v>54800.740500000007</v>
      </c>
    </row>
    <row r="137" spans="1:6" x14ac:dyDescent="0.25">
      <c r="A137" s="250" t="s">
        <v>250</v>
      </c>
      <c r="B137" s="250" t="s">
        <v>253</v>
      </c>
      <c r="C137" s="250"/>
      <c r="D137" s="250">
        <f>F132*106.3</f>
        <v>35.610500000000002</v>
      </c>
      <c r="E137" s="250">
        <v>55.18</v>
      </c>
      <c r="F137" s="58">
        <f t="shared" ref="F137:F141" si="9">D137*E137</f>
        <v>1964.98739</v>
      </c>
    </row>
    <row r="138" spans="1:6" x14ac:dyDescent="0.25">
      <c r="A138" s="250" t="s">
        <v>251</v>
      </c>
      <c r="B138" s="250" t="s">
        <v>253</v>
      </c>
      <c r="C138" s="250"/>
      <c r="D138" s="250">
        <f>F132*106.3</f>
        <v>35.610500000000002</v>
      </c>
      <c r="E138" s="250">
        <v>56.66</v>
      </c>
      <c r="F138" s="58">
        <f t="shared" si="9"/>
        <v>2017.69093</v>
      </c>
    </row>
    <row r="139" spans="1:6" x14ac:dyDescent="0.25">
      <c r="A139" s="250" t="s">
        <v>16</v>
      </c>
      <c r="B139" s="250" t="s">
        <v>254</v>
      </c>
      <c r="C139" s="250"/>
      <c r="D139" s="250">
        <f>F132*10.36</f>
        <v>3.4706000000000001</v>
      </c>
      <c r="E139" s="250">
        <v>7415.06</v>
      </c>
      <c r="F139" s="58">
        <f>D139*E139</f>
        <v>25734.707236000002</v>
      </c>
    </row>
    <row r="140" spans="1:6" x14ac:dyDescent="0.25">
      <c r="A140" s="237" t="s">
        <v>252</v>
      </c>
      <c r="B140" s="250" t="s">
        <v>255</v>
      </c>
      <c r="C140" s="250"/>
      <c r="D140" s="250">
        <f>F132*12</f>
        <v>4.0200000000000005</v>
      </c>
      <c r="E140" s="238">
        <v>6334.56</v>
      </c>
      <c r="F140" s="58">
        <f>D140*E140</f>
        <v>25464.931200000003</v>
      </c>
    </row>
    <row r="141" spans="1:6" x14ac:dyDescent="0.25">
      <c r="A141" s="352" t="s">
        <v>426</v>
      </c>
      <c r="B141" s="354" t="str">
        <f>B138</f>
        <v>м3</v>
      </c>
      <c r="C141" s="354"/>
      <c r="D141" s="354">
        <f>3.636*D145</f>
        <v>1.2180600000000001</v>
      </c>
      <c r="E141" s="353">
        <v>2170.58</v>
      </c>
      <c r="F141" s="58">
        <f t="shared" si="9"/>
        <v>2643.8966748000003</v>
      </c>
    </row>
    <row r="142" spans="1:6" x14ac:dyDescent="0.25">
      <c r="A142" s="497"/>
      <c r="B142" s="497"/>
      <c r="C142" s="497"/>
      <c r="D142" s="497"/>
      <c r="E142" s="497"/>
      <c r="F142" s="293">
        <f>SUM(F136:F141)+0.06</f>
        <v>112627.01393080001</v>
      </c>
    </row>
    <row r="143" spans="1:6" x14ac:dyDescent="0.25">
      <c r="A143" s="498" t="s">
        <v>47</v>
      </c>
      <c r="B143" s="498"/>
      <c r="C143" s="498"/>
      <c r="D143" s="498"/>
      <c r="E143" s="498"/>
      <c r="F143" s="498"/>
    </row>
    <row r="144" spans="1:6" x14ac:dyDescent="0.25">
      <c r="A144" s="255" t="s">
        <v>90</v>
      </c>
      <c r="B144" s="44" t="s">
        <v>245</v>
      </c>
      <c r="C144" s="44"/>
      <c r="D144" s="44"/>
      <c r="E144" s="45"/>
      <c r="F144" s="45"/>
    </row>
    <row r="145" spans="1:7" x14ac:dyDescent="0.25">
      <c r="D145" s="46">
        <f>F132</f>
        <v>0.33500000000000002</v>
      </c>
    </row>
    <row r="146" spans="1:7" x14ac:dyDescent="0.25">
      <c r="A146" s="488" t="s">
        <v>124</v>
      </c>
      <c r="B146" s="488"/>
      <c r="C146" s="242"/>
      <c r="D146" s="242" t="s">
        <v>11</v>
      </c>
      <c r="E146" s="242" t="s">
        <v>53</v>
      </c>
      <c r="F146" s="242" t="s">
        <v>15</v>
      </c>
      <c r="G146" s="248" t="s">
        <v>6</v>
      </c>
    </row>
    <row r="147" spans="1:7" x14ac:dyDescent="0.25">
      <c r="A147" s="489">
        <v>1</v>
      </c>
      <c r="B147" s="490"/>
      <c r="C147" s="244"/>
      <c r="D147" s="242">
        <v>2</v>
      </c>
      <c r="E147" s="242">
        <v>3</v>
      </c>
      <c r="F147" s="242">
        <v>4</v>
      </c>
      <c r="G147" s="66" t="s">
        <v>75</v>
      </c>
    </row>
    <row r="148" spans="1:7" x14ac:dyDescent="0.25">
      <c r="A148" s="494" t="str">
        <f>A53</f>
        <v>Суточные</v>
      </c>
      <c r="B148" s="495"/>
      <c r="C148" s="246"/>
      <c r="D148" s="242" t="str">
        <f>D53</f>
        <v>сутки</v>
      </c>
      <c r="E148" s="307">
        <f>D145</f>
        <v>0.33500000000000002</v>
      </c>
      <c r="F148" s="249">
        <f>F53</f>
        <v>13500</v>
      </c>
      <c r="G148" s="66">
        <f>E148*F148</f>
        <v>4522.5</v>
      </c>
    </row>
    <row r="149" spans="1:7" x14ac:dyDescent="0.25">
      <c r="A149" s="494" t="str">
        <f>A54</f>
        <v>Проезд</v>
      </c>
      <c r="B149" s="495"/>
      <c r="C149" s="246"/>
      <c r="D149" s="242" t="str">
        <f>D54</f>
        <v xml:space="preserve">Ед. </v>
      </c>
      <c r="E149" s="307">
        <v>0.33500000000000002</v>
      </c>
      <c r="F149" s="249">
        <f>F54</f>
        <v>60000</v>
      </c>
      <c r="G149" s="66">
        <f>E149*F149</f>
        <v>20100</v>
      </c>
    </row>
    <row r="150" spans="1:7" x14ac:dyDescent="0.25">
      <c r="A150" s="494" t="str">
        <f>A55</f>
        <v>Проживание (гостиница)</v>
      </c>
      <c r="B150" s="495"/>
      <c r="C150" s="246"/>
      <c r="D150" s="242" t="str">
        <f>D55</f>
        <v>сутки</v>
      </c>
      <c r="E150" s="307">
        <v>0.33500000000000002</v>
      </c>
      <c r="F150" s="249">
        <f>F55</f>
        <v>7499.98</v>
      </c>
      <c r="G150" s="66">
        <f>E150*F150-0.25</f>
        <v>2512.2433000000001</v>
      </c>
    </row>
    <row r="151" spans="1:7" x14ac:dyDescent="0.25">
      <c r="A151" s="245" t="str">
        <f>A56</f>
        <v>Проживание (квартирные)</v>
      </c>
      <c r="B151" s="246"/>
      <c r="C151" s="246"/>
      <c r="D151" s="242" t="str">
        <f>D56</f>
        <v>сутки</v>
      </c>
      <c r="E151" s="307">
        <v>0.33500000000000002</v>
      </c>
      <c r="F151" s="249">
        <f>F56</f>
        <v>3375</v>
      </c>
      <c r="G151" s="66">
        <f>E151*F151</f>
        <v>1130.625</v>
      </c>
    </row>
    <row r="152" spans="1:7" x14ac:dyDescent="0.25">
      <c r="A152" s="477" t="s">
        <v>123</v>
      </c>
      <c r="B152" s="478"/>
      <c r="C152" s="239"/>
      <c r="D152" s="60"/>
      <c r="E152" s="67"/>
      <c r="F152" s="67"/>
      <c r="G152" s="294">
        <f>SUM(G148:G151)</f>
        <v>28265.368300000002</v>
      </c>
    </row>
    <row r="153" spans="1:7" x14ac:dyDescent="0.25">
      <c r="A153" s="486" t="s">
        <v>36</v>
      </c>
      <c r="B153" s="486"/>
      <c r="C153" s="486"/>
      <c r="D153" s="486"/>
      <c r="E153" s="486"/>
      <c r="F153" s="486"/>
      <c r="G153" s="192"/>
    </row>
    <row r="154" spans="1:7" x14ac:dyDescent="0.25">
      <c r="D154" s="52">
        <f>D145</f>
        <v>0.33500000000000002</v>
      </c>
    </row>
    <row r="155" spans="1:7" x14ac:dyDescent="0.25">
      <c r="A155" s="488" t="s">
        <v>24</v>
      </c>
      <c r="B155" s="488" t="s">
        <v>11</v>
      </c>
      <c r="C155" s="242"/>
      <c r="D155" s="488" t="s">
        <v>53</v>
      </c>
      <c r="E155" s="488" t="s">
        <v>15</v>
      </c>
      <c r="F155" s="519" t="s">
        <v>203</v>
      </c>
      <c r="G155" s="517" t="s">
        <v>6</v>
      </c>
    </row>
    <row r="156" spans="1:7" ht="3.6" customHeight="1" x14ac:dyDescent="0.25">
      <c r="A156" s="488"/>
      <c r="B156" s="488"/>
      <c r="C156" s="242"/>
      <c r="D156" s="488"/>
      <c r="E156" s="488"/>
      <c r="F156" s="520"/>
      <c r="G156" s="518"/>
    </row>
    <row r="157" spans="1:7" x14ac:dyDescent="0.25">
      <c r="A157" s="242">
        <v>1</v>
      </c>
      <c r="B157" s="242">
        <v>2</v>
      </c>
      <c r="C157" s="242"/>
      <c r="D157" s="242">
        <v>3</v>
      </c>
      <c r="E157" s="242">
        <v>4</v>
      </c>
      <c r="F157" s="242">
        <v>5</v>
      </c>
      <c r="G157" s="59" t="s">
        <v>76</v>
      </c>
    </row>
    <row r="158" spans="1:7" x14ac:dyDescent="0.25">
      <c r="A158" s="237" t="s">
        <v>199</v>
      </c>
      <c r="B158" s="250" t="s">
        <v>255</v>
      </c>
      <c r="C158" s="250"/>
      <c r="D158" s="250">
        <f>D154</f>
        <v>0.33500000000000002</v>
      </c>
      <c r="E158" s="314">
        <v>250</v>
      </c>
      <c r="F158" s="242">
        <v>12</v>
      </c>
      <c r="G158" s="59">
        <f t="shared" ref="G158:G163" si="10">D158*E158*F158</f>
        <v>1005</v>
      </c>
    </row>
    <row r="159" spans="1:7" x14ac:dyDescent="0.25">
      <c r="A159" s="237" t="s">
        <v>200</v>
      </c>
      <c r="B159" s="250" t="s">
        <v>255</v>
      </c>
      <c r="C159" s="250"/>
      <c r="D159" s="250">
        <f>D154</f>
        <v>0.33500000000000002</v>
      </c>
      <c r="E159" s="165">
        <v>2250</v>
      </c>
      <c r="F159" s="242">
        <v>12</v>
      </c>
      <c r="G159" s="59">
        <f t="shared" si="10"/>
        <v>9045</v>
      </c>
    </row>
    <row r="160" spans="1:7" hidden="1" x14ac:dyDescent="0.25">
      <c r="A160" s="237" t="s">
        <v>201</v>
      </c>
      <c r="B160" s="250" t="s">
        <v>255</v>
      </c>
      <c r="C160" s="250"/>
      <c r="D160" s="250">
        <f>D154</f>
        <v>0.33500000000000002</v>
      </c>
      <c r="E160" s="165">
        <v>0</v>
      </c>
      <c r="F160" s="242">
        <v>12</v>
      </c>
      <c r="G160" s="59">
        <f t="shared" si="10"/>
        <v>0</v>
      </c>
    </row>
    <row r="161" spans="1:7" hidden="1" x14ac:dyDescent="0.25">
      <c r="A161" s="237" t="s">
        <v>296</v>
      </c>
      <c r="B161" s="250" t="s">
        <v>255</v>
      </c>
      <c r="C161" s="250"/>
      <c r="D161" s="250">
        <f>D154</f>
        <v>0.33500000000000002</v>
      </c>
      <c r="E161" s="165"/>
      <c r="F161" s="242"/>
      <c r="G161" s="59"/>
    </row>
    <row r="162" spans="1:7" x14ac:dyDescent="0.25">
      <c r="A162" s="237" t="s">
        <v>297</v>
      </c>
      <c r="B162" s="250" t="s">
        <v>255</v>
      </c>
      <c r="C162" s="250"/>
      <c r="D162" s="250">
        <f>D154</f>
        <v>0.33500000000000002</v>
      </c>
      <c r="E162" s="165">
        <v>6500</v>
      </c>
      <c r="F162" s="242">
        <v>8</v>
      </c>
      <c r="G162" s="59">
        <f t="shared" si="10"/>
        <v>17420</v>
      </c>
    </row>
    <row r="163" spans="1:7" x14ac:dyDescent="0.25">
      <c r="A163" s="237" t="s">
        <v>298</v>
      </c>
      <c r="B163" s="250" t="s">
        <v>255</v>
      </c>
      <c r="C163" s="250"/>
      <c r="D163" s="250">
        <f>D154</f>
        <v>0.33500000000000002</v>
      </c>
      <c r="E163" s="165">
        <v>11500</v>
      </c>
      <c r="F163" s="242">
        <v>4</v>
      </c>
      <c r="G163" s="59">
        <f t="shared" si="10"/>
        <v>15410.000000000002</v>
      </c>
    </row>
    <row r="164" spans="1:7" x14ac:dyDescent="0.25">
      <c r="A164" s="237" t="s">
        <v>202</v>
      </c>
      <c r="B164" s="250" t="s">
        <v>255</v>
      </c>
      <c r="C164" s="250"/>
      <c r="D164" s="250">
        <f>D154</f>
        <v>0.33500000000000002</v>
      </c>
      <c r="E164" s="165">
        <v>167.6</v>
      </c>
      <c r="F164" s="242">
        <v>12</v>
      </c>
      <c r="G164" s="59">
        <f>D164*E164*F164+0.06</f>
        <v>673.8119999999999</v>
      </c>
    </row>
    <row r="165" spans="1:7" x14ac:dyDescent="0.25">
      <c r="A165" s="485" t="s">
        <v>26</v>
      </c>
      <c r="B165" s="485"/>
      <c r="C165" s="485"/>
      <c r="D165" s="485"/>
      <c r="E165" s="485"/>
      <c r="F165" s="485"/>
      <c r="G165" s="290">
        <f>SUM(G158:G164)</f>
        <v>43553.811999999998</v>
      </c>
    </row>
    <row r="166" spans="1:7" x14ac:dyDescent="0.25">
      <c r="A166" s="486" t="s">
        <v>61</v>
      </c>
      <c r="B166" s="486"/>
      <c r="C166" s="486"/>
      <c r="D166" s="486"/>
      <c r="E166" s="486"/>
      <c r="F166" s="486"/>
    </row>
    <row r="167" spans="1:7" x14ac:dyDescent="0.25">
      <c r="D167" s="52">
        <f>D154</f>
        <v>0.33500000000000002</v>
      </c>
    </row>
    <row r="168" spans="1:7" x14ac:dyDescent="0.25">
      <c r="A168" s="488" t="s">
        <v>299</v>
      </c>
      <c r="B168" s="488" t="s">
        <v>11</v>
      </c>
      <c r="C168" s="242"/>
      <c r="D168" s="488" t="s">
        <v>53</v>
      </c>
      <c r="E168" s="488" t="s">
        <v>15</v>
      </c>
      <c r="F168" s="488" t="s">
        <v>25</v>
      </c>
      <c r="G168" s="517" t="s">
        <v>6</v>
      </c>
    </row>
    <row r="169" spans="1:7" hidden="1" x14ac:dyDescent="0.25">
      <c r="A169" s="488"/>
      <c r="B169" s="488"/>
      <c r="C169" s="242"/>
      <c r="D169" s="488"/>
      <c r="E169" s="488"/>
      <c r="F169" s="488"/>
      <c r="G169" s="518"/>
    </row>
    <row r="170" spans="1:7" x14ac:dyDescent="0.25">
      <c r="A170" s="242">
        <v>1</v>
      </c>
      <c r="B170" s="242">
        <v>2</v>
      </c>
      <c r="C170" s="242"/>
      <c r="D170" s="242">
        <v>3</v>
      </c>
      <c r="E170" s="242">
        <v>4</v>
      </c>
      <c r="F170" s="242">
        <v>5</v>
      </c>
      <c r="G170" s="59" t="s">
        <v>77</v>
      </c>
    </row>
    <row r="171" spans="1:7" x14ac:dyDescent="0.25">
      <c r="A171" s="139" t="s">
        <v>533</v>
      </c>
      <c r="B171" s="364" t="s">
        <v>141</v>
      </c>
      <c r="C171" s="364"/>
      <c r="D171" s="364">
        <v>0.33500000000000002</v>
      </c>
      <c r="E171" s="364">
        <v>8151.4</v>
      </c>
      <c r="F171" s="364">
        <v>1</v>
      </c>
      <c r="G171" s="59">
        <f>D171*E171</f>
        <v>2730.7190000000001</v>
      </c>
    </row>
    <row r="172" spans="1:7" x14ac:dyDescent="0.25">
      <c r="A172" s="55" t="s">
        <v>205</v>
      </c>
      <c r="B172" s="242" t="s">
        <v>22</v>
      </c>
      <c r="C172" s="242"/>
      <c r="D172" s="242">
        <f>1*D167</f>
        <v>0.33500000000000002</v>
      </c>
      <c r="E172" s="249">
        <v>10848.6</v>
      </c>
      <c r="F172" s="242">
        <v>1</v>
      </c>
      <c r="G172" s="59">
        <f>D172*E172*F172</f>
        <v>3634.2810000000004</v>
      </c>
    </row>
    <row r="173" spans="1:7" x14ac:dyDescent="0.25">
      <c r="A173" s="485" t="s">
        <v>62</v>
      </c>
      <c r="B173" s="485"/>
      <c r="C173" s="485"/>
      <c r="D173" s="485"/>
      <c r="E173" s="485"/>
      <c r="F173" s="485"/>
      <c r="G173" s="295">
        <f>SUM(G171:G172)</f>
        <v>6365</v>
      </c>
    </row>
    <row r="174" spans="1:7" x14ac:dyDescent="0.25">
      <c r="A174" s="486" t="s">
        <v>19</v>
      </c>
      <c r="B174" s="486"/>
      <c r="C174" s="486"/>
      <c r="D174" s="486"/>
      <c r="E174" s="486"/>
      <c r="F174" s="486"/>
    </row>
    <row r="175" spans="1:7" x14ac:dyDescent="0.25">
      <c r="A175" s="487" t="s">
        <v>20</v>
      </c>
      <c r="B175" s="487"/>
      <c r="C175" s="487"/>
      <c r="D175" s="487"/>
      <c r="E175" s="487"/>
      <c r="F175" s="487"/>
    </row>
    <row r="176" spans="1:7" x14ac:dyDescent="0.25">
      <c r="D176" s="52">
        <f>D167</f>
        <v>0.33500000000000002</v>
      </c>
    </row>
    <row r="177" spans="1:6" x14ac:dyDescent="0.25">
      <c r="A177" s="488" t="s">
        <v>21</v>
      </c>
      <c r="B177" s="488" t="s">
        <v>11</v>
      </c>
      <c r="C177" s="242"/>
      <c r="D177" s="488" t="s">
        <v>14</v>
      </c>
      <c r="E177" s="488" t="s">
        <v>15</v>
      </c>
      <c r="F177" s="488" t="s">
        <v>6</v>
      </c>
    </row>
    <row r="178" spans="1:6" x14ac:dyDescent="0.25">
      <c r="A178" s="488"/>
      <c r="B178" s="488"/>
      <c r="C178" s="242"/>
      <c r="D178" s="488"/>
      <c r="E178" s="488"/>
      <c r="F178" s="488"/>
    </row>
    <row r="179" spans="1:6" x14ac:dyDescent="0.25">
      <c r="A179" s="242">
        <v>1</v>
      </c>
      <c r="B179" s="242">
        <v>2</v>
      </c>
      <c r="C179" s="242"/>
      <c r="D179" s="242">
        <v>3</v>
      </c>
      <c r="E179" s="242">
        <v>7</v>
      </c>
      <c r="F179" s="242" t="s">
        <v>207</v>
      </c>
    </row>
    <row r="180" spans="1:6" x14ac:dyDescent="0.25">
      <c r="A180" s="352" t="s">
        <v>312</v>
      </c>
      <c r="B180" s="354" t="s">
        <v>22</v>
      </c>
      <c r="C180" s="354"/>
      <c r="D180" s="354">
        <f>D176*12</f>
        <v>4.0200000000000005</v>
      </c>
      <c r="E180" s="354">
        <v>2000</v>
      </c>
      <c r="F180" s="348">
        <f>D180*E180</f>
        <v>8040.0000000000009</v>
      </c>
    </row>
    <row r="181" spans="1:6" x14ac:dyDescent="0.25">
      <c r="A181" s="100" t="s">
        <v>212</v>
      </c>
      <c r="B181" s="354" t="s">
        <v>22</v>
      </c>
      <c r="C181" s="102"/>
      <c r="D181" s="102">
        <f>D176*2</f>
        <v>0.67</v>
      </c>
      <c r="E181" s="354">
        <v>23197</v>
      </c>
      <c r="F181" s="348">
        <f t="shared" ref="F181:F204" si="11">D181*E181</f>
        <v>15541.990000000002</v>
      </c>
    </row>
    <row r="182" spans="1:6" x14ac:dyDescent="0.25">
      <c r="A182" s="100" t="s">
        <v>316</v>
      </c>
      <c r="B182" s="354" t="s">
        <v>22</v>
      </c>
      <c r="C182" s="102"/>
      <c r="D182" s="354">
        <f>D176</f>
        <v>0.33500000000000002</v>
      </c>
      <c r="E182" s="354">
        <v>12104.4</v>
      </c>
      <c r="F182" s="348">
        <f t="shared" si="11"/>
        <v>4054.9740000000002</v>
      </c>
    </row>
    <row r="183" spans="1:6" ht="30" customHeight="1" x14ac:dyDescent="0.25">
      <c r="A183" s="100" t="s">
        <v>125</v>
      </c>
      <c r="B183" s="354" t="s">
        <v>22</v>
      </c>
      <c r="C183" s="102"/>
      <c r="D183" s="102">
        <f>D182</f>
        <v>0.33500000000000002</v>
      </c>
      <c r="E183" s="354">
        <v>17364.580000000002</v>
      </c>
      <c r="F183" s="348">
        <f t="shared" si="11"/>
        <v>5817.1343000000006</v>
      </c>
    </row>
    <row r="184" spans="1:6" x14ac:dyDescent="0.25">
      <c r="A184" s="100" t="s">
        <v>300</v>
      </c>
      <c r="B184" s="354" t="s">
        <v>22</v>
      </c>
      <c r="C184" s="102"/>
      <c r="D184" s="354">
        <f>D176</f>
        <v>0.33500000000000002</v>
      </c>
      <c r="E184" s="354">
        <v>39517.64</v>
      </c>
      <c r="F184" s="348">
        <f t="shared" si="11"/>
        <v>13238.4094</v>
      </c>
    </row>
    <row r="185" spans="1:6" x14ac:dyDescent="0.25">
      <c r="A185" s="391" t="s">
        <v>427</v>
      </c>
      <c r="B185" s="354" t="s">
        <v>22</v>
      </c>
      <c r="C185" s="102"/>
      <c r="D185" s="102">
        <f>D176</f>
        <v>0.33500000000000002</v>
      </c>
      <c r="E185" s="355">
        <v>64100</v>
      </c>
      <c r="F185" s="348">
        <f t="shared" si="11"/>
        <v>21473.5</v>
      </c>
    </row>
    <row r="186" spans="1:6" x14ac:dyDescent="0.25">
      <c r="A186" s="390" t="s">
        <v>428</v>
      </c>
      <c r="B186" s="354" t="s">
        <v>22</v>
      </c>
      <c r="C186" s="392"/>
      <c r="D186" s="354">
        <f t="shared" ref="D186" si="12">D182</f>
        <v>0.33500000000000002</v>
      </c>
      <c r="E186" s="393">
        <v>6900</v>
      </c>
      <c r="F186" s="348">
        <f t="shared" si="11"/>
        <v>2311.5</v>
      </c>
    </row>
    <row r="187" spans="1:6" x14ac:dyDescent="0.25">
      <c r="A187" s="390" t="s">
        <v>429</v>
      </c>
      <c r="B187" s="354" t="s">
        <v>22</v>
      </c>
      <c r="C187" s="392"/>
      <c r="D187" s="102">
        <f t="shared" ref="D187" si="13">D182</f>
        <v>0.33500000000000002</v>
      </c>
      <c r="E187" s="393">
        <v>7400</v>
      </c>
      <c r="F187" s="348">
        <f t="shared" si="11"/>
        <v>2479</v>
      </c>
    </row>
    <row r="188" spans="1:6" x14ac:dyDescent="0.25">
      <c r="A188" s="390" t="s">
        <v>430</v>
      </c>
      <c r="B188" s="354" t="s">
        <v>22</v>
      </c>
      <c r="C188" s="392"/>
      <c r="D188" s="354">
        <f t="shared" ref="D188" si="14">D184</f>
        <v>0.33500000000000002</v>
      </c>
      <c r="E188" s="393">
        <v>8500</v>
      </c>
      <c r="F188" s="348">
        <f t="shared" si="11"/>
        <v>2847.5</v>
      </c>
    </row>
    <row r="189" spans="1:6" x14ac:dyDescent="0.25">
      <c r="A189" s="390" t="s">
        <v>431</v>
      </c>
      <c r="B189" s="354" t="s">
        <v>22</v>
      </c>
      <c r="C189" s="392"/>
      <c r="D189" s="102">
        <f t="shared" ref="D189" si="15">D184</f>
        <v>0.33500000000000002</v>
      </c>
      <c r="E189" s="393">
        <v>8500</v>
      </c>
      <c r="F189" s="348">
        <f t="shared" si="11"/>
        <v>2847.5</v>
      </c>
    </row>
    <row r="190" spans="1:6" x14ac:dyDescent="0.25">
      <c r="A190" s="390" t="s">
        <v>432</v>
      </c>
      <c r="B190" s="354" t="s">
        <v>22</v>
      </c>
      <c r="C190" s="392"/>
      <c r="D190" s="354">
        <f t="shared" ref="D190" si="16">D186</f>
        <v>0.33500000000000002</v>
      </c>
      <c r="E190" s="393">
        <v>4000</v>
      </c>
      <c r="F190" s="348">
        <f t="shared" si="11"/>
        <v>1340</v>
      </c>
    </row>
    <row r="191" spans="1:6" x14ac:dyDescent="0.25">
      <c r="A191" s="390" t="s">
        <v>433</v>
      </c>
      <c r="B191" s="354" t="s">
        <v>22</v>
      </c>
      <c r="C191" s="392"/>
      <c r="D191" s="102">
        <f t="shared" ref="D191" si="17">D186</f>
        <v>0.33500000000000002</v>
      </c>
      <c r="E191" s="393">
        <v>4000</v>
      </c>
      <c r="F191" s="348">
        <f t="shared" si="11"/>
        <v>1340</v>
      </c>
    </row>
    <row r="192" spans="1:6" x14ac:dyDescent="0.25">
      <c r="A192" s="390" t="s">
        <v>434</v>
      </c>
      <c r="B192" s="354" t="s">
        <v>22</v>
      </c>
      <c r="C192" s="392"/>
      <c r="D192" s="354">
        <f t="shared" ref="D192" si="18">D188</f>
        <v>0.33500000000000002</v>
      </c>
      <c r="E192" s="393">
        <v>3000</v>
      </c>
      <c r="F192" s="348">
        <f t="shared" si="11"/>
        <v>1005.0000000000001</v>
      </c>
    </row>
    <row r="193" spans="1:6" x14ac:dyDescent="0.25">
      <c r="A193" s="390" t="s">
        <v>435</v>
      </c>
      <c r="B193" s="354" t="s">
        <v>22</v>
      </c>
      <c r="C193" s="392"/>
      <c r="D193" s="102">
        <f t="shared" ref="D193" si="19">D188</f>
        <v>0.33500000000000002</v>
      </c>
      <c r="E193" s="393">
        <v>9500</v>
      </c>
      <c r="F193" s="348">
        <f t="shared" si="11"/>
        <v>3182.5</v>
      </c>
    </row>
    <row r="194" spans="1:6" x14ac:dyDescent="0.25">
      <c r="A194" s="390" t="s">
        <v>436</v>
      </c>
      <c r="B194" s="354" t="s">
        <v>22</v>
      </c>
      <c r="C194" s="392"/>
      <c r="D194" s="354">
        <f t="shared" ref="D194" si="20">D190</f>
        <v>0.33500000000000002</v>
      </c>
      <c r="E194" s="393">
        <v>9000</v>
      </c>
      <c r="F194" s="348">
        <f t="shared" si="11"/>
        <v>3015</v>
      </c>
    </row>
    <row r="195" spans="1:6" x14ac:dyDescent="0.25">
      <c r="A195" s="390" t="s">
        <v>437</v>
      </c>
      <c r="B195" s="354" t="s">
        <v>22</v>
      </c>
      <c r="C195" s="392"/>
      <c r="D195" s="102">
        <f t="shared" ref="D195" si="21">D190</f>
        <v>0.33500000000000002</v>
      </c>
      <c r="E195" s="393">
        <v>9600</v>
      </c>
      <c r="F195" s="348">
        <f t="shared" si="11"/>
        <v>3216</v>
      </c>
    </row>
    <row r="196" spans="1:6" x14ac:dyDescent="0.25">
      <c r="A196" s="390" t="s">
        <v>438</v>
      </c>
      <c r="B196" s="354" t="s">
        <v>22</v>
      </c>
      <c r="C196" s="392"/>
      <c r="D196" s="354">
        <f t="shared" ref="D196" si="22">D192</f>
        <v>0.33500000000000002</v>
      </c>
      <c r="E196" s="393">
        <v>9500</v>
      </c>
      <c r="F196" s="348">
        <f t="shared" si="11"/>
        <v>3182.5</v>
      </c>
    </row>
    <row r="197" spans="1:6" x14ac:dyDescent="0.25">
      <c r="A197" s="390" t="s">
        <v>439</v>
      </c>
      <c r="B197" s="354" t="s">
        <v>22</v>
      </c>
      <c r="C197" s="392"/>
      <c r="D197" s="102">
        <f t="shared" ref="D197" si="23">D192</f>
        <v>0.33500000000000002</v>
      </c>
      <c r="E197" s="393">
        <v>5000</v>
      </c>
      <c r="F197" s="348">
        <f t="shared" si="11"/>
        <v>1675</v>
      </c>
    </row>
    <row r="198" spans="1:6" x14ac:dyDescent="0.25">
      <c r="A198" s="390" t="s">
        <v>440</v>
      </c>
      <c r="B198" s="354" t="s">
        <v>22</v>
      </c>
      <c r="C198" s="392"/>
      <c r="D198" s="354">
        <f t="shared" ref="D198" si="24">D194</f>
        <v>0.33500000000000002</v>
      </c>
      <c r="E198" s="393">
        <v>15000</v>
      </c>
      <c r="F198" s="348">
        <f t="shared" si="11"/>
        <v>5025</v>
      </c>
    </row>
    <row r="199" spans="1:6" x14ac:dyDescent="0.25">
      <c r="A199" s="100" t="s">
        <v>441</v>
      </c>
      <c r="B199" s="354" t="s">
        <v>22</v>
      </c>
      <c r="C199" s="102"/>
      <c r="D199" s="102">
        <f t="shared" ref="D199" si="25">D194</f>
        <v>0.33500000000000002</v>
      </c>
      <c r="E199" s="362">
        <v>2000</v>
      </c>
      <c r="F199" s="348">
        <f t="shared" si="11"/>
        <v>670</v>
      </c>
    </row>
    <row r="200" spans="1:6" x14ac:dyDescent="0.25">
      <c r="A200" s="100" t="s">
        <v>442</v>
      </c>
      <c r="B200" s="354" t="s">
        <v>22</v>
      </c>
      <c r="C200" s="102"/>
      <c r="D200" s="354">
        <f t="shared" ref="D200" si="26">D196</f>
        <v>0.33500000000000002</v>
      </c>
      <c r="E200" s="362">
        <v>2000</v>
      </c>
      <c r="F200" s="348">
        <f t="shared" si="11"/>
        <v>670</v>
      </c>
    </row>
    <row r="201" spans="1:6" x14ac:dyDescent="0.25">
      <c r="A201" s="100" t="s">
        <v>443</v>
      </c>
      <c r="B201" s="354" t="s">
        <v>22</v>
      </c>
      <c r="C201" s="102"/>
      <c r="D201" s="102">
        <f t="shared" ref="D201" si="27">D196</f>
        <v>0.33500000000000002</v>
      </c>
      <c r="E201" s="362">
        <v>2000</v>
      </c>
      <c r="F201" s="348">
        <f t="shared" si="11"/>
        <v>670</v>
      </c>
    </row>
    <row r="202" spans="1:6" x14ac:dyDescent="0.25">
      <c r="A202" s="100" t="s">
        <v>444</v>
      </c>
      <c r="B202" s="354" t="s">
        <v>22</v>
      </c>
      <c r="C202" s="102"/>
      <c r="D202" s="354">
        <f t="shared" ref="D202" si="28">D198</f>
        <v>0.33500000000000002</v>
      </c>
      <c r="E202" s="362">
        <v>2000</v>
      </c>
      <c r="F202" s="348">
        <f t="shared" si="11"/>
        <v>670</v>
      </c>
    </row>
    <row r="203" spans="1:6" x14ac:dyDescent="0.25">
      <c r="A203" s="100" t="s">
        <v>445</v>
      </c>
      <c r="B203" s="354" t="s">
        <v>22</v>
      </c>
      <c r="C203" s="102"/>
      <c r="D203" s="102">
        <f t="shared" ref="D203" si="29">D198</f>
        <v>0.33500000000000002</v>
      </c>
      <c r="E203" s="362">
        <v>2000</v>
      </c>
      <c r="F203" s="348">
        <f t="shared" si="11"/>
        <v>670</v>
      </c>
    </row>
    <row r="204" spans="1:6" x14ac:dyDescent="0.25">
      <c r="A204" s="100" t="s">
        <v>446</v>
      </c>
      <c r="B204" s="354" t="s">
        <v>22</v>
      </c>
      <c r="C204" s="102"/>
      <c r="D204" s="354">
        <f t="shared" ref="D204" si="30">D200</f>
        <v>0.33500000000000002</v>
      </c>
      <c r="E204" s="362">
        <v>2500</v>
      </c>
      <c r="F204" s="348">
        <f t="shared" si="11"/>
        <v>837.5</v>
      </c>
    </row>
    <row r="205" spans="1:6" x14ac:dyDescent="0.25">
      <c r="A205" s="479" t="s">
        <v>23</v>
      </c>
      <c r="B205" s="479"/>
      <c r="C205" s="479"/>
      <c r="D205" s="479"/>
      <c r="E205" s="479"/>
      <c r="F205" s="296">
        <f>SUM(F180:F204)</f>
        <v>105820.0077</v>
      </c>
    </row>
    <row r="206" spans="1:6" x14ac:dyDescent="0.25">
      <c r="A206" s="480" t="s">
        <v>29</v>
      </c>
      <c r="B206" s="481"/>
      <c r="C206" s="481"/>
      <c r="D206" s="481"/>
      <c r="E206" s="481"/>
      <c r="F206" s="482"/>
    </row>
    <row r="207" spans="1:6" x14ac:dyDescent="0.25">
      <c r="A207" s="483">
        <f>D176</f>
        <v>0.33500000000000002</v>
      </c>
      <c r="B207" s="483"/>
      <c r="C207" s="483"/>
      <c r="D207" s="483"/>
      <c r="E207" s="483"/>
      <c r="F207" s="483"/>
    </row>
    <row r="208" spans="1:6" x14ac:dyDescent="0.25">
      <c r="A208" s="484" t="s">
        <v>30</v>
      </c>
      <c r="B208" s="484" t="s">
        <v>11</v>
      </c>
      <c r="C208" s="240"/>
      <c r="D208" s="484" t="s">
        <v>14</v>
      </c>
      <c r="E208" s="484" t="s">
        <v>15</v>
      </c>
      <c r="F208" s="484" t="s">
        <v>6</v>
      </c>
    </row>
    <row r="209" spans="1:6" x14ac:dyDescent="0.25">
      <c r="A209" s="484"/>
      <c r="B209" s="484"/>
      <c r="C209" s="240"/>
      <c r="D209" s="484"/>
      <c r="E209" s="484"/>
      <c r="F209" s="484"/>
    </row>
    <row r="210" spans="1:6" x14ac:dyDescent="0.25">
      <c r="A210" s="240">
        <v>1</v>
      </c>
      <c r="B210" s="240">
        <v>2</v>
      </c>
      <c r="C210" s="240"/>
      <c r="D210" s="240">
        <v>3</v>
      </c>
      <c r="E210" s="240">
        <v>4</v>
      </c>
      <c r="F210" s="240" t="s">
        <v>126</v>
      </c>
    </row>
    <row r="211" spans="1:6" x14ac:dyDescent="0.25">
      <c r="A211" s="315" t="s">
        <v>103</v>
      </c>
      <c r="B211" s="318" t="s">
        <v>22</v>
      </c>
      <c r="C211" s="274"/>
      <c r="D211" s="274">
        <f>5*A207</f>
        <v>1.675</v>
      </c>
      <c r="E211" s="274">
        <v>12000</v>
      </c>
      <c r="F211" s="276">
        <f>D211*E211</f>
        <v>20100</v>
      </c>
    </row>
    <row r="212" spans="1:6" ht="15" customHeight="1" x14ac:dyDescent="0.25">
      <c r="A212" s="315" t="s">
        <v>301</v>
      </c>
      <c r="B212" s="318" t="s">
        <v>22</v>
      </c>
      <c r="C212" s="274"/>
      <c r="D212" s="274">
        <f>A207</f>
        <v>0.33500000000000002</v>
      </c>
      <c r="E212" s="274">
        <v>1606</v>
      </c>
      <c r="F212" s="276">
        <f t="shared" ref="F212:F264" si="31">D212*E212</f>
        <v>538.01</v>
      </c>
    </row>
    <row r="213" spans="1:6" ht="15" customHeight="1" x14ac:dyDescent="0.25">
      <c r="A213" s="315" t="s">
        <v>312</v>
      </c>
      <c r="B213" s="318" t="s">
        <v>22</v>
      </c>
      <c r="C213" s="274"/>
      <c r="D213" s="274">
        <f>12*A207</f>
        <v>4.0200000000000005</v>
      </c>
      <c r="E213" s="274">
        <v>2000</v>
      </c>
      <c r="F213" s="276">
        <f t="shared" si="31"/>
        <v>8040.0000000000009</v>
      </c>
    </row>
    <row r="214" spans="1:6" x14ac:dyDescent="0.25">
      <c r="A214" s="315" t="s">
        <v>313</v>
      </c>
      <c r="B214" s="318" t="s">
        <v>22</v>
      </c>
      <c r="C214" s="274"/>
      <c r="D214" s="274">
        <f>12*A207</f>
        <v>4.0200000000000005</v>
      </c>
      <c r="E214" s="274">
        <v>1000</v>
      </c>
      <c r="F214" s="276">
        <f t="shared" si="31"/>
        <v>4020.0000000000005</v>
      </c>
    </row>
    <row r="215" spans="1:6" x14ac:dyDescent="0.25">
      <c r="A215" s="315" t="s">
        <v>211</v>
      </c>
      <c r="B215" s="318" t="s">
        <v>22</v>
      </c>
      <c r="C215" s="274"/>
      <c r="D215" s="274">
        <f>A207</f>
        <v>0.33500000000000002</v>
      </c>
      <c r="E215" s="274">
        <v>18445</v>
      </c>
      <c r="F215" s="276">
        <f t="shared" si="31"/>
        <v>6179.0750000000007</v>
      </c>
    </row>
    <row r="216" spans="1:6" x14ac:dyDescent="0.25">
      <c r="A216" s="315" t="s">
        <v>314</v>
      </c>
      <c r="B216" s="318" t="s">
        <v>22</v>
      </c>
      <c r="C216" s="274"/>
      <c r="D216" s="274">
        <f>D214</f>
        <v>4.0200000000000005</v>
      </c>
      <c r="E216" s="274">
        <v>8000</v>
      </c>
      <c r="F216" s="276">
        <f t="shared" si="31"/>
        <v>32160.000000000004</v>
      </c>
    </row>
    <row r="217" spans="1:6" x14ac:dyDescent="0.25">
      <c r="A217" s="315" t="s">
        <v>315</v>
      </c>
      <c r="B217" s="318" t="s">
        <v>22</v>
      </c>
      <c r="C217" s="274"/>
      <c r="D217" s="274">
        <f>D214</f>
        <v>4.0200000000000005</v>
      </c>
      <c r="E217" s="274">
        <v>5000</v>
      </c>
      <c r="F217" s="276">
        <f t="shared" si="31"/>
        <v>20100.000000000004</v>
      </c>
    </row>
    <row r="218" spans="1:6" ht="15" customHeight="1" x14ac:dyDescent="0.25">
      <c r="A218" s="315" t="s">
        <v>447</v>
      </c>
      <c r="B218" s="318" t="s">
        <v>22</v>
      </c>
      <c r="C218" s="274"/>
      <c r="D218" s="274">
        <f>A207</f>
        <v>0.33500000000000002</v>
      </c>
      <c r="E218" s="316">
        <v>31500</v>
      </c>
      <c r="F218" s="276">
        <f t="shared" si="31"/>
        <v>10552.5</v>
      </c>
    </row>
    <row r="219" spans="1:6" ht="15" customHeight="1" x14ac:dyDescent="0.25">
      <c r="A219" s="317" t="s">
        <v>302</v>
      </c>
      <c r="B219" s="318" t="s">
        <v>22</v>
      </c>
      <c r="C219" s="274"/>
      <c r="D219" s="274">
        <f>6*A207</f>
        <v>2.0100000000000002</v>
      </c>
      <c r="E219" s="316">
        <v>5423.22</v>
      </c>
      <c r="F219" s="276">
        <f t="shared" si="31"/>
        <v>10900.672200000001</v>
      </c>
    </row>
    <row r="220" spans="1:6" ht="15" customHeight="1" x14ac:dyDescent="0.25">
      <c r="A220" s="315" t="s">
        <v>303</v>
      </c>
      <c r="B220" s="318" t="s">
        <v>22</v>
      </c>
      <c r="C220" s="274"/>
      <c r="D220" s="274">
        <f>D218</f>
        <v>0.33500000000000002</v>
      </c>
      <c r="E220" s="274">
        <v>5000</v>
      </c>
      <c r="F220" s="276">
        <f t="shared" si="31"/>
        <v>1675</v>
      </c>
    </row>
    <row r="221" spans="1:6" ht="15" customHeight="1" x14ac:dyDescent="0.25">
      <c r="A221" s="352" t="s">
        <v>317</v>
      </c>
      <c r="B221" s="318" t="s">
        <v>22</v>
      </c>
      <c r="C221" s="354"/>
      <c r="D221" s="354">
        <f>D220</f>
        <v>0.33500000000000002</v>
      </c>
      <c r="E221" s="362">
        <v>3600.68</v>
      </c>
      <c r="F221" s="276">
        <f t="shared" si="31"/>
        <v>1206.2278000000001</v>
      </c>
    </row>
    <row r="222" spans="1:6" ht="15" customHeight="1" x14ac:dyDescent="0.25">
      <c r="A222" s="352" t="s">
        <v>318</v>
      </c>
      <c r="B222" s="318" t="s">
        <v>22</v>
      </c>
      <c r="C222" s="354"/>
      <c r="D222" s="354">
        <f>7*A207</f>
        <v>2.3450000000000002</v>
      </c>
      <c r="E222" s="362">
        <v>4400</v>
      </c>
      <c r="F222" s="276">
        <f t="shared" si="31"/>
        <v>10318</v>
      </c>
    </row>
    <row r="223" spans="1:6" ht="15" customHeight="1" x14ac:dyDescent="0.25">
      <c r="A223" s="352" t="s">
        <v>319</v>
      </c>
      <c r="B223" s="318" t="s">
        <v>22</v>
      </c>
      <c r="C223" s="354"/>
      <c r="D223" s="354">
        <f>2*A207</f>
        <v>0.67</v>
      </c>
      <c r="E223" s="362">
        <v>6630</v>
      </c>
      <c r="F223" s="276">
        <f t="shared" si="31"/>
        <v>4442.1000000000004</v>
      </c>
    </row>
    <row r="224" spans="1:6" ht="15" customHeight="1" x14ac:dyDescent="0.25">
      <c r="A224" s="352" t="s">
        <v>320</v>
      </c>
      <c r="B224" s="318" t="s">
        <v>22</v>
      </c>
      <c r="C224" s="354"/>
      <c r="D224" s="354">
        <f>A207</f>
        <v>0.33500000000000002</v>
      </c>
      <c r="E224" s="362">
        <v>1450</v>
      </c>
      <c r="F224" s="276">
        <f t="shared" si="31"/>
        <v>485.75000000000006</v>
      </c>
    </row>
    <row r="225" spans="1:6" ht="15" customHeight="1" x14ac:dyDescent="0.25">
      <c r="A225" s="352" t="s">
        <v>321</v>
      </c>
      <c r="B225" s="318" t="s">
        <v>22</v>
      </c>
      <c r="C225" s="354"/>
      <c r="D225" s="354">
        <f>D224</f>
        <v>0.33500000000000002</v>
      </c>
      <c r="E225" s="354">
        <v>2750</v>
      </c>
      <c r="F225" s="276">
        <f t="shared" si="31"/>
        <v>921.25</v>
      </c>
    </row>
    <row r="226" spans="1:6" ht="15" customHeight="1" x14ac:dyDescent="0.25">
      <c r="A226" s="352" t="s">
        <v>514</v>
      </c>
      <c r="B226" s="318" t="s">
        <v>141</v>
      </c>
      <c r="C226" s="354"/>
      <c r="D226" s="354">
        <f>A207</f>
        <v>0.33500000000000002</v>
      </c>
      <c r="E226" s="362">
        <v>2000</v>
      </c>
      <c r="F226" s="276">
        <f t="shared" si="31"/>
        <v>670</v>
      </c>
    </row>
    <row r="227" spans="1:6" ht="15" customHeight="1" x14ac:dyDescent="0.25">
      <c r="A227" s="352" t="s">
        <v>515</v>
      </c>
      <c r="B227" s="318" t="s">
        <v>141</v>
      </c>
      <c r="C227" s="354"/>
      <c r="D227" s="354">
        <f>A207</f>
        <v>0.33500000000000002</v>
      </c>
      <c r="E227" s="362">
        <v>500</v>
      </c>
      <c r="F227" s="276">
        <f t="shared" si="31"/>
        <v>167.5</v>
      </c>
    </row>
    <row r="228" spans="1:6" ht="15" customHeight="1" x14ac:dyDescent="0.25">
      <c r="A228" s="394" t="str">
        <f>Лист1!B3</f>
        <v>ПУГНП</v>
      </c>
      <c r="B228" s="278" t="s">
        <v>93</v>
      </c>
      <c r="C228" s="285"/>
      <c r="D228" s="285">
        <f>Лист1!G3*$A$207</f>
        <v>16.75</v>
      </c>
      <c r="E228" s="287">
        <f>Лист1!H3</f>
        <v>28</v>
      </c>
      <c r="F228" s="276">
        <f t="shared" si="31"/>
        <v>469</v>
      </c>
    </row>
    <row r="229" spans="1:6" ht="15" customHeight="1" x14ac:dyDescent="0.25">
      <c r="A229" s="394" t="str">
        <f>Лист1!B4</f>
        <v>пакет майка</v>
      </c>
      <c r="B229" s="278" t="s">
        <v>93</v>
      </c>
      <c r="C229" s="285"/>
      <c r="D229" s="354">
        <f>Лист1!G4*$A$207</f>
        <v>0.33500000000000002</v>
      </c>
      <c r="E229" s="362">
        <f>Лист1!H4</f>
        <v>5</v>
      </c>
      <c r="F229" s="276">
        <f t="shared" si="31"/>
        <v>1.675</v>
      </c>
    </row>
    <row r="230" spans="1:6" ht="15" customHeight="1" x14ac:dyDescent="0.25">
      <c r="A230" s="394" t="str">
        <f>Лист1!B5</f>
        <v>розетка</v>
      </c>
      <c r="B230" s="278" t="s">
        <v>93</v>
      </c>
      <c r="C230" s="285"/>
      <c r="D230" s="354">
        <f>Лист1!G5*$A$207</f>
        <v>1.675</v>
      </c>
      <c r="E230" s="362">
        <f>Лист1!H5</f>
        <v>163</v>
      </c>
      <c r="F230" s="276">
        <f t="shared" si="31"/>
        <v>273.02500000000003</v>
      </c>
    </row>
    <row r="231" spans="1:6" ht="15" customHeight="1" x14ac:dyDescent="0.25">
      <c r="A231" s="394" t="str">
        <f>Лист1!B6</f>
        <v>Вилка евро</v>
      </c>
      <c r="B231" s="278" t="s">
        <v>93</v>
      </c>
      <c r="C231" s="274"/>
      <c r="D231" s="354">
        <f>Лист1!G6*$A$207</f>
        <v>1.675</v>
      </c>
      <c r="E231" s="362">
        <f>Лист1!H6</f>
        <v>180</v>
      </c>
      <c r="F231" s="276">
        <f t="shared" si="31"/>
        <v>301.5</v>
      </c>
    </row>
    <row r="232" spans="1:6" ht="15" customHeight="1" x14ac:dyDescent="0.25">
      <c r="A232" s="394" t="str">
        <f>Лист1!B7</f>
        <v>розетка "Пралеска"</v>
      </c>
      <c r="B232" s="278" t="s">
        <v>93</v>
      </c>
      <c r="C232" s="274"/>
      <c r="D232" s="354">
        <f>Лист1!G7*$A$207</f>
        <v>1.0050000000000001</v>
      </c>
      <c r="E232" s="362">
        <f>Лист1!H7</f>
        <v>379</v>
      </c>
      <c r="F232" s="276">
        <f t="shared" si="31"/>
        <v>380.89500000000004</v>
      </c>
    </row>
    <row r="233" spans="1:6" x14ac:dyDescent="0.25">
      <c r="A233" s="394" t="str">
        <f>Лист1!B8</f>
        <v>лампа "Онлайт"</v>
      </c>
      <c r="B233" s="278" t="s">
        <v>93</v>
      </c>
      <c r="C233" s="274"/>
      <c r="D233" s="354">
        <f>Лист1!G8*$A$207</f>
        <v>8.7100000000000009</v>
      </c>
      <c r="E233" s="362">
        <f>Лист1!H8</f>
        <v>76</v>
      </c>
      <c r="F233" s="276">
        <f t="shared" si="31"/>
        <v>661.96</v>
      </c>
    </row>
    <row r="234" spans="1:6" x14ac:dyDescent="0.25">
      <c r="A234" s="394" t="str">
        <f>Лист1!B9</f>
        <v>пугнп</v>
      </c>
      <c r="B234" s="278" t="s">
        <v>93</v>
      </c>
      <c r="C234" s="274"/>
      <c r="D234" s="354">
        <f>Лист1!G9*$A$207</f>
        <v>2.3450000000000002</v>
      </c>
      <c r="E234" s="362">
        <f>Лист1!H9</f>
        <v>28</v>
      </c>
      <c r="F234" s="276">
        <f t="shared" si="31"/>
        <v>65.660000000000011</v>
      </c>
    </row>
    <row r="235" spans="1:6" x14ac:dyDescent="0.25">
      <c r="A235" s="394" t="str">
        <f>Лист1!B10</f>
        <v>светильник точечный</v>
      </c>
      <c r="B235" s="278" t="s">
        <v>93</v>
      </c>
      <c r="C235" s="274"/>
      <c r="D235" s="354">
        <f>Лист1!G10*$A$207</f>
        <v>3.35</v>
      </c>
      <c r="E235" s="362">
        <f>Лист1!H10</f>
        <v>68</v>
      </c>
      <c r="F235" s="276">
        <f t="shared" si="31"/>
        <v>227.8</v>
      </c>
    </row>
    <row r="236" spans="1:6" x14ac:dyDescent="0.25">
      <c r="A236" s="394" t="str">
        <f>Лист1!B11</f>
        <v>светильник точечный</v>
      </c>
      <c r="B236" s="278" t="s">
        <v>93</v>
      </c>
      <c r="C236" s="274"/>
      <c r="D236" s="354">
        <f>Лист1!G11*$A$207</f>
        <v>3.35</v>
      </c>
      <c r="E236" s="362">
        <f>Лист1!H11</f>
        <v>105</v>
      </c>
      <c r="F236" s="276">
        <f t="shared" si="31"/>
        <v>351.75</v>
      </c>
    </row>
    <row r="237" spans="1:6" x14ac:dyDescent="0.25">
      <c r="A237" s="394" t="str">
        <f>Лист1!B12</f>
        <v>светильник точечный</v>
      </c>
      <c r="B237" s="278" t="s">
        <v>93</v>
      </c>
      <c r="C237" s="277"/>
      <c r="D237" s="354">
        <f>Лист1!G12*$A$207</f>
        <v>2.0100000000000002</v>
      </c>
      <c r="E237" s="362">
        <f>Лист1!H12</f>
        <v>93</v>
      </c>
      <c r="F237" s="276">
        <f t="shared" si="31"/>
        <v>186.93000000000004</v>
      </c>
    </row>
    <row r="238" spans="1:6" x14ac:dyDescent="0.25">
      <c r="A238" s="394" t="str">
        <f>Лист1!B13</f>
        <v>эмаль аэрозоль</v>
      </c>
      <c r="B238" s="278" t="s">
        <v>93</v>
      </c>
      <c r="C238" s="277"/>
      <c r="D238" s="354">
        <f>Лист1!G13*$A$207</f>
        <v>0.67</v>
      </c>
      <c r="E238" s="362">
        <f>Лист1!H13</f>
        <v>220</v>
      </c>
      <c r="F238" s="276">
        <f t="shared" si="31"/>
        <v>147.4</v>
      </c>
    </row>
    <row r="239" spans="1:6" x14ac:dyDescent="0.25">
      <c r="A239" s="394" t="str">
        <f>Лист1!B14</f>
        <v>пила сегментная</v>
      </c>
      <c r="B239" s="278" t="s">
        <v>93</v>
      </c>
      <c r="C239" s="277"/>
      <c r="D239" s="354">
        <f>Лист1!G14*$A$207</f>
        <v>0.33500000000000002</v>
      </c>
      <c r="E239" s="362">
        <f>Лист1!H14</f>
        <v>543</v>
      </c>
      <c r="F239" s="276">
        <f t="shared" si="31"/>
        <v>181.905</v>
      </c>
    </row>
    <row r="240" spans="1:6" x14ac:dyDescent="0.25">
      <c r="A240" s="394" t="str">
        <f>Лист1!B15</f>
        <v>комплект крепежей для батареи</v>
      </c>
      <c r="B240" s="278" t="s">
        <v>93</v>
      </c>
      <c r="C240" s="277"/>
      <c r="D240" s="354">
        <f>Лист1!G15*$A$207</f>
        <v>1.0050000000000001</v>
      </c>
      <c r="E240" s="362">
        <f>Лист1!H15</f>
        <v>270</v>
      </c>
      <c r="F240" s="276">
        <f t="shared" si="31"/>
        <v>271.35000000000002</v>
      </c>
    </row>
    <row r="241" spans="1:6" x14ac:dyDescent="0.25">
      <c r="A241" s="394" t="str">
        <f>Лист1!B16</f>
        <v>набор для радиатора</v>
      </c>
      <c r="B241" s="278" t="s">
        <v>93</v>
      </c>
      <c r="C241" s="279"/>
      <c r="D241" s="354">
        <f>Лист1!G16*$A$207</f>
        <v>1.0050000000000001</v>
      </c>
      <c r="E241" s="362">
        <f>Лист1!H16</f>
        <v>235</v>
      </c>
      <c r="F241" s="276">
        <f t="shared" si="31"/>
        <v>236.17500000000004</v>
      </c>
    </row>
    <row r="242" spans="1:6" x14ac:dyDescent="0.25">
      <c r="A242" s="394" t="str">
        <f>Лист1!B17</f>
        <v>лампа "Онлайт"</v>
      </c>
      <c r="B242" s="278" t="s">
        <v>93</v>
      </c>
      <c r="C242" s="277"/>
      <c r="D242" s="354">
        <f>Лист1!G17*$A$207</f>
        <v>1.675</v>
      </c>
      <c r="E242" s="362">
        <f>Лист1!H17</f>
        <v>165</v>
      </c>
      <c r="F242" s="276">
        <f t="shared" si="31"/>
        <v>276.375</v>
      </c>
    </row>
    <row r="243" spans="1:6" x14ac:dyDescent="0.25">
      <c r="A243" s="394" t="str">
        <f>Лист1!B18</f>
        <v>Прожектор светодиодный</v>
      </c>
      <c r="B243" s="278" t="s">
        <v>93</v>
      </c>
      <c r="C243" s="277"/>
      <c r="D243" s="354">
        <f>Лист1!G18*$A$207</f>
        <v>0.67</v>
      </c>
      <c r="E243" s="362">
        <f>Лист1!H18</f>
        <v>280</v>
      </c>
      <c r="F243" s="276">
        <f t="shared" si="31"/>
        <v>187.60000000000002</v>
      </c>
    </row>
    <row r="244" spans="1:6" x14ac:dyDescent="0.25">
      <c r="A244" s="394" t="str">
        <f>Лист1!B19</f>
        <v>скотч 48 мм</v>
      </c>
      <c r="B244" s="278" t="s">
        <v>93</v>
      </c>
      <c r="C244" s="277"/>
      <c r="D244" s="354">
        <f>Лист1!G19*$A$207</f>
        <v>4.0200000000000005</v>
      </c>
      <c r="E244" s="362">
        <f>Лист1!H19</f>
        <v>120</v>
      </c>
      <c r="F244" s="276">
        <f t="shared" si="31"/>
        <v>482.40000000000003</v>
      </c>
    </row>
    <row r="245" spans="1:6" x14ac:dyDescent="0.25">
      <c r="A245" s="394" t="str">
        <f>Лист1!B20</f>
        <v>скотч армированный</v>
      </c>
      <c r="B245" s="278" t="s">
        <v>93</v>
      </c>
      <c r="C245" s="186"/>
      <c r="D245" s="354">
        <f>Лист1!G20*$A$207</f>
        <v>0.67</v>
      </c>
      <c r="E245" s="362">
        <f>Лист1!H20</f>
        <v>77</v>
      </c>
      <c r="F245" s="276">
        <f t="shared" si="31"/>
        <v>51.59</v>
      </c>
    </row>
    <row r="246" spans="1:6" x14ac:dyDescent="0.25">
      <c r="A246" s="394" t="str">
        <f>Лист1!B21</f>
        <v>эмаль аэрозоль металлик</v>
      </c>
      <c r="B246" s="278" t="s">
        <v>93</v>
      </c>
      <c r="C246" s="186"/>
      <c r="D246" s="354">
        <f>Лист1!G21*$A$207</f>
        <v>0.33500000000000002</v>
      </c>
      <c r="E246" s="362">
        <f>Лист1!H21</f>
        <v>220</v>
      </c>
      <c r="F246" s="276">
        <f t="shared" si="31"/>
        <v>73.7</v>
      </c>
    </row>
    <row r="247" spans="1:6" x14ac:dyDescent="0.25">
      <c r="A247" s="394" t="str">
        <f>Лист1!B22</f>
        <v>эмаль аэрозоль коричн</v>
      </c>
      <c r="B247" s="278" t="s">
        <v>93</v>
      </c>
      <c r="C247" s="186"/>
      <c r="D247" s="354">
        <f>Лист1!G22*$A$207</f>
        <v>0.33500000000000002</v>
      </c>
      <c r="E247" s="362">
        <f>Лист1!H22</f>
        <v>193</v>
      </c>
      <c r="F247" s="276">
        <f t="shared" si="31"/>
        <v>64.655000000000001</v>
      </c>
    </row>
    <row r="248" spans="1:6" x14ac:dyDescent="0.25">
      <c r="A248" s="394" t="str">
        <f>Лист1!B23</f>
        <v>эмаль разн цвет</v>
      </c>
      <c r="B248" s="278" t="s">
        <v>93</v>
      </c>
      <c r="C248" s="186"/>
      <c r="D248" s="354">
        <f>Лист1!G23*$A$207</f>
        <v>1.34</v>
      </c>
      <c r="E248" s="362">
        <f>Лист1!H23</f>
        <v>270</v>
      </c>
      <c r="F248" s="276">
        <f t="shared" si="31"/>
        <v>361.8</v>
      </c>
    </row>
    <row r="249" spans="1:6" x14ac:dyDescent="0.25">
      <c r="A249" s="394" t="str">
        <f>Лист1!B24</f>
        <v>скоба</v>
      </c>
      <c r="B249" s="278" t="s">
        <v>93</v>
      </c>
      <c r="C249" s="186"/>
      <c r="D249" s="354">
        <f>Лист1!G24*$A$207</f>
        <v>1.675</v>
      </c>
      <c r="E249" s="362">
        <f>Лист1!H24</f>
        <v>54</v>
      </c>
      <c r="F249" s="276">
        <f t="shared" si="31"/>
        <v>90.45</v>
      </c>
    </row>
    <row r="250" spans="1:6" x14ac:dyDescent="0.25">
      <c r="A250" s="394" t="str">
        <f>Лист1!B25</f>
        <v>стяжка для провода</v>
      </c>
      <c r="B250" s="278" t="s">
        <v>93</v>
      </c>
      <c r="C250" s="186"/>
      <c r="D250" s="354">
        <f>Лист1!G25*$A$207</f>
        <v>0.67</v>
      </c>
      <c r="E250" s="362">
        <f>Лист1!H25</f>
        <v>223</v>
      </c>
      <c r="F250" s="276">
        <f t="shared" si="31"/>
        <v>149.41</v>
      </c>
    </row>
    <row r="251" spans="1:6" x14ac:dyDescent="0.25">
      <c r="A251" s="394" t="str">
        <f>Лист1!B26</f>
        <v>стяжка для провода</v>
      </c>
      <c r="B251" s="278" t="s">
        <v>93</v>
      </c>
      <c r="C251" s="186"/>
      <c r="D251" s="354">
        <f>Лист1!G26*$A$207</f>
        <v>0.67</v>
      </c>
      <c r="E251" s="362">
        <f>Лист1!H26</f>
        <v>90</v>
      </c>
      <c r="F251" s="276">
        <f t="shared" si="31"/>
        <v>60.300000000000004</v>
      </c>
    </row>
    <row r="252" spans="1:6" x14ac:dyDescent="0.25">
      <c r="A252" s="394" t="str">
        <f>Лист1!B27</f>
        <v>дюбель</v>
      </c>
      <c r="B252" s="278" t="s">
        <v>93</v>
      </c>
      <c r="C252" s="186"/>
      <c r="D252" s="354">
        <f>Лист1!G27*$A$207</f>
        <v>66.665000000000006</v>
      </c>
      <c r="E252" s="362">
        <f>Лист1!H27</f>
        <v>1</v>
      </c>
      <c r="F252" s="276">
        <f t="shared" si="31"/>
        <v>66.665000000000006</v>
      </c>
    </row>
    <row r="253" spans="1:6" x14ac:dyDescent="0.25">
      <c r="A253" s="394" t="str">
        <f>Лист1!B28</f>
        <v>бокорезы</v>
      </c>
      <c r="B253" s="278" t="s">
        <v>93</v>
      </c>
      <c r="C253" s="186"/>
      <c r="D253" s="354">
        <f>Лист1!G28*$A$207</f>
        <v>0.33500000000000002</v>
      </c>
      <c r="E253" s="362">
        <f>Лист1!H28</f>
        <v>371</v>
      </c>
      <c r="F253" s="276">
        <f t="shared" si="31"/>
        <v>124.28500000000001</v>
      </c>
    </row>
    <row r="254" spans="1:6" x14ac:dyDescent="0.25">
      <c r="A254" s="394" t="str">
        <f>Лист1!B29</f>
        <v>плоскогубцы</v>
      </c>
      <c r="B254" s="278" t="s">
        <v>93</v>
      </c>
      <c r="C254" s="186"/>
      <c r="D254" s="354">
        <f>Лист1!G29*$A$207</f>
        <v>0.33500000000000002</v>
      </c>
      <c r="E254" s="362">
        <f>Лист1!H29</f>
        <v>329</v>
      </c>
      <c r="F254" s="276">
        <f t="shared" si="31"/>
        <v>110.215</v>
      </c>
    </row>
    <row r="255" spans="1:6" x14ac:dyDescent="0.25">
      <c r="A255" s="394" t="str">
        <f>Лист1!B30</f>
        <v>бита</v>
      </c>
      <c r="B255" s="278" t="s">
        <v>93</v>
      </c>
      <c r="C255" s="186"/>
      <c r="D255" s="354">
        <f>Лист1!G30*$A$207</f>
        <v>0.33500000000000002</v>
      </c>
      <c r="E255" s="362">
        <f>Лист1!H30</f>
        <v>101</v>
      </c>
      <c r="F255" s="276">
        <f t="shared" si="31"/>
        <v>33.835000000000001</v>
      </c>
    </row>
    <row r="256" spans="1:6" x14ac:dyDescent="0.25">
      <c r="A256" s="394" t="str">
        <f>Лист1!B31</f>
        <v>бита</v>
      </c>
      <c r="B256" s="278" t="s">
        <v>93</v>
      </c>
      <c r="C256" s="186"/>
      <c r="D256" s="354">
        <f>Лист1!G31*$A$207</f>
        <v>0.33500000000000002</v>
      </c>
      <c r="E256" s="362">
        <f>Лист1!H31</f>
        <v>61</v>
      </c>
      <c r="F256" s="276">
        <f t="shared" si="31"/>
        <v>20.435000000000002</v>
      </c>
    </row>
    <row r="257" spans="1:6" x14ac:dyDescent="0.25">
      <c r="A257" s="394" t="str">
        <f>Лист1!B32</f>
        <v>угольник</v>
      </c>
      <c r="B257" s="278" t="s">
        <v>93</v>
      </c>
      <c r="C257" s="186"/>
      <c r="D257" s="354">
        <f>Лист1!G32*$A$207</f>
        <v>0.33500000000000002</v>
      </c>
      <c r="E257" s="362">
        <f>Лист1!H32</f>
        <v>582</v>
      </c>
      <c r="F257" s="276">
        <f t="shared" si="31"/>
        <v>194.97</v>
      </c>
    </row>
    <row r="258" spans="1:6" x14ac:dyDescent="0.25">
      <c r="A258" s="394" t="str">
        <f>Лист1!B33</f>
        <v>угольник</v>
      </c>
      <c r="B258" s="278" t="s">
        <v>93</v>
      </c>
      <c r="C258" s="186"/>
      <c r="D258" s="354">
        <f>Лист1!G33*$A$207</f>
        <v>0.33500000000000002</v>
      </c>
      <c r="E258" s="362">
        <f>Лист1!H33</f>
        <v>449</v>
      </c>
      <c r="F258" s="276">
        <f t="shared" si="31"/>
        <v>150.41500000000002</v>
      </c>
    </row>
    <row r="259" spans="1:6" x14ac:dyDescent="0.25">
      <c r="A259" s="394" t="str">
        <f>Лист1!B34</f>
        <v>штангенциркуль</v>
      </c>
      <c r="B259" s="278" t="s">
        <v>93</v>
      </c>
      <c r="C259" s="250"/>
      <c r="D259" s="354">
        <f>Лист1!G34*$A$207</f>
        <v>0.33500000000000002</v>
      </c>
      <c r="E259" s="362">
        <f>Лист1!H34</f>
        <v>800</v>
      </c>
      <c r="F259" s="276">
        <f t="shared" si="31"/>
        <v>268</v>
      </c>
    </row>
    <row r="260" spans="1:6" x14ac:dyDescent="0.25">
      <c r="A260" s="394" t="str">
        <f>Лист1!B35</f>
        <v>пугнп 2*1,5</v>
      </c>
      <c r="B260" s="278" t="s">
        <v>93</v>
      </c>
      <c r="C260" s="250"/>
      <c r="D260" s="354">
        <f>Лист1!G35*$A$207</f>
        <v>67</v>
      </c>
      <c r="E260" s="362">
        <f>Лист1!H35</f>
        <v>28</v>
      </c>
      <c r="F260" s="276">
        <f t="shared" si="31"/>
        <v>1876</v>
      </c>
    </row>
    <row r="261" spans="1:6" x14ac:dyDescent="0.25">
      <c r="A261" s="394" t="str">
        <f>Лист1!B36</f>
        <v>пугнп 2*2,5</v>
      </c>
      <c r="B261" s="278" t="s">
        <v>93</v>
      </c>
      <c r="C261" s="250"/>
      <c r="D261" s="354">
        <f>Лист1!G36*$A$207</f>
        <v>67</v>
      </c>
      <c r="E261" s="362">
        <f>Лист1!H36</f>
        <v>43</v>
      </c>
      <c r="F261" s="276">
        <f t="shared" si="31"/>
        <v>2881</v>
      </c>
    </row>
    <row r="262" spans="1:6" x14ac:dyDescent="0.25">
      <c r="A262" s="394" t="str">
        <f>Лист1!B37</f>
        <v>зажимы</v>
      </c>
      <c r="B262" s="278" t="s">
        <v>93</v>
      </c>
      <c r="C262" s="250"/>
      <c r="D262" s="354">
        <f>Лист1!G37*$A$207</f>
        <v>1.675</v>
      </c>
      <c r="E262" s="362">
        <f>Лист1!H37</f>
        <v>50</v>
      </c>
      <c r="F262" s="276">
        <f t="shared" si="31"/>
        <v>83.75</v>
      </c>
    </row>
    <row r="263" spans="1:6" x14ac:dyDescent="0.25">
      <c r="A263" s="394" t="str">
        <f>Лист1!B38</f>
        <v>коробка установочная</v>
      </c>
      <c r="B263" s="278" t="s">
        <v>93</v>
      </c>
      <c r="C263" s="250"/>
      <c r="D263" s="354">
        <f>Лист1!G38*$A$207</f>
        <v>3.35</v>
      </c>
      <c r="E263" s="362">
        <f>Лист1!H38</f>
        <v>15</v>
      </c>
      <c r="F263" s="276">
        <f t="shared" si="31"/>
        <v>50.25</v>
      </c>
    </row>
    <row r="264" spans="1:6" x14ac:dyDescent="0.25">
      <c r="A264" s="394" t="str">
        <f>Лист1!B39</f>
        <v>розетка</v>
      </c>
      <c r="B264" s="278" t="s">
        <v>93</v>
      </c>
      <c r="C264" s="250"/>
      <c r="D264" s="354">
        <f>Лист1!G39*$A$207</f>
        <v>3.35</v>
      </c>
      <c r="E264" s="362">
        <f>Лист1!H39</f>
        <v>219</v>
      </c>
      <c r="F264" s="276">
        <f t="shared" si="31"/>
        <v>733.65</v>
      </c>
    </row>
    <row r="265" spans="1:6" x14ac:dyDescent="0.25">
      <c r="A265" s="394" t="str">
        <f>Лист1!B40</f>
        <v>розетка</v>
      </c>
      <c r="B265" s="278" t="s">
        <v>93</v>
      </c>
      <c r="C265" s="285"/>
      <c r="D265" s="354">
        <f>Лист1!G40*$A$207</f>
        <v>1.675</v>
      </c>
      <c r="E265" s="362">
        <f>Лист1!H40</f>
        <v>163</v>
      </c>
      <c r="F265" s="276">
        <f t="shared" ref="F265:F289" si="32">D265*E265</f>
        <v>273.02500000000003</v>
      </c>
    </row>
    <row r="266" spans="1:6" x14ac:dyDescent="0.25">
      <c r="A266" s="394" t="str">
        <f>Лист1!B41</f>
        <v>вилка прямая</v>
      </c>
      <c r="B266" s="278" t="s">
        <v>93</v>
      </c>
      <c r="C266" s="285"/>
      <c r="D266" s="354">
        <f>Лист1!G41*$A$207</f>
        <v>0.33500000000000002</v>
      </c>
      <c r="E266" s="362">
        <f>Лист1!H41</f>
        <v>180</v>
      </c>
      <c r="F266" s="276">
        <f t="shared" si="32"/>
        <v>60.300000000000004</v>
      </c>
    </row>
    <row r="267" spans="1:6" x14ac:dyDescent="0.25">
      <c r="A267" s="394" t="str">
        <f>Лист1!B42</f>
        <v>вилка белая</v>
      </c>
      <c r="B267" s="278" t="s">
        <v>93</v>
      </c>
      <c r="C267" s="285"/>
      <c r="D267" s="354">
        <f>Лист1!G42*$A$207</f>
        <v>1.34</v>
      </c>
      <c r="E267" s="362">
        <f>Лист1!H42</f>
        <v>90</v>
      </c>
      <c r="F267" s="276">
        <f t="shared" si="32"/>
        <v>120.60000000000001</v>
      </c>
    </row>
    <row r="268" spans="1:6" x14ac:dyDescent="0.25">
      <c r="A268" s="394" t="str">
        <f>Лист1!B43</f>
        <v>саморез 3,5*51</v>
      </c>
      <c r="B268" s="278" t="s">
        <v>93</v>
      </c>
      <c r="C268" s="285"/>
      <c r="D268" s="354">
        <f>Лист1!G43*$A$207</f>
        <v>244.55</v>
      </c>
      <c r="E268" s="362">
        <f>Лист1!H43</f>
        <v>1</v>
      </c>
      <c r="F268" s="276">
        <f t="shared" si="32"/>
        <v>244.55</v>
      </c>
    </row>
    <row r="269" spans="1:6" x14ac:dyDescent="0.25">
      <c r="A269" s="394" t="str">
        <f>Лист1!B44</f>
        <v>саморез 4,2*70</v>
      </c>
      <c r="B269" s="278" t="s">
        <v>93</v>
      </c>
      <c r="C269" s="285"/>
      <c r="D269" s="354">
        <f>Лист1!G44*$A$207</f>
        <v>301.5</v>
      </c>
      <c r="E269" s="362">
        <f>Лист1!H44</f>
        <v>1.5</v>
      </c>
      <c r="F269" s="276">
        <f t="shared" si="32"/>
        <v>452.25</v>
      </c>
    </row>
    <row r="270" spans="1:6" x14ac:dyDescent="0.25">
      <c r="A270" s="394" t="str">
        <f>Лист1!B45</f>
        <v>набор пилок</v>
      </c>
      <c r="B270" s="278" t="s">
        <v>93</v>
      </c>
      <c r="C270" s="285"/>
      <c r="D270" s="354">
        <f>Лист1!G45*$A$207</f>
        <v>1.0050000000000001</v>
      </c>
      <c r="E270" s="362">
        <f>Лист1!H45</f>
        <v>200</v>
      </c>
      <c r="F270" s="276">
        <f t="shared" si="32"/>
        <v>201.00000000000003</v>
      </c>
    </row>
    <row r="271" spans="1:6" x14ac:dyDescent="0.25">
      <c r="A271" s="394" t="str">
        <f>Лист1!B46</f>
        <v>комплект радиатора</v>
      </c>
      <c r="B271" s="278" t="s">
        <v>93</v>
      </c>
      <c r="C271" s="285"/>
      <c r="D271" s="354">
        <f>Лист1!G46*$A$207</f>
        <v>3.35</v>
      </c>
      <c r="E271" s="362">
        <f>Лист1!H46</f>
        <v>279</v>
      </c>
      <c r="F271" s="276">
        <f t="shared" si="32"/>
        <v>934.65</v>
      </c>
    </row>
    <row r="272" spans="1:6" x14ac:dyDescent="0.25">
      <c r="A272" s="394" t="str">
        <f>Лист1!B47</f>
        <v>кран шаровый</v>
      </c>
      <c r="B272" s="278" t="s">
        <v>93</v>
      </c>
      <c r="C272" s="285"/>
      <c r="D272" s="354">
        <f>Лист1!G47*$A$207</f>
        <v>6.7</v>
      </c>
      <c r="E272" s="362">
        <f>Лист1!H47</f>
        <v>950</v>
      </c>
      <c r="F272" s="276">
        <f t="shared" si="32"/>
        <v>6365</v>
      </c>
    </row>
    <row r="273" spans="1:10" x14ac:dyDescent="0.25">
      <c r="A273" s="394" t="str">
        <f>Лист1!B48</f>
        <v>Лопата</v>
      </c>
      <c r="B273" s="278" t="s">
        <v>93</v>
      </c>
      <c r="C273" s="285"/>
      <c r="D273" s="354">
        <f>Лист1!G48*$A$207</f>
        <v>0.33500000000000002</v>
      </c>
      <c r="E273" s="362">
        <f>Лист1!H48</f>
        <v>1430</v>
      </c>
      <c r="F273" s="276">
        <f t="shared" si="32"/>
        <v>479.05</v>
      </c>
    </row>
    <row r="274" spans="1:10" x14ac:dyDescent="0.25">
      <c r="A274" s="394" t="str">
        <f>Лист1!B49</f>
        <v>Пружина</v>
      </c>
      <c r="B274" s="278" t="s">
        <v>93</v>
      </c>
      <c r="C274" s="285"/>
      <c r="D274" s="354">
        <f>Лист1!G49*$A$207</f>
        <v>8.375</v>
      </c>
      <c r="E274" s="362">
        <f>Лист1!H49</f>
        <v>55</v>
      </c>
      <c r="F274" s="276">
        <f t="shared" si="32"/>
        <v>460.625</v>
      </c>
    </row>
    <row r="275" spans="1:10" x14ac:dyDescent="0.25">
      <c r="A275" s="394" t="str">
        <f>Лист1!B50</f>
        <v>ГСМ 12,1457л.*247дней*44,27 руб.</v>
      </c>
      <c r="B275" s="278" t="s">
        <v>93</v>
      </c>
      <c r="C275" s="285"/>
      <c r="D275" s="354">
        <f>Лист1!G50*$A$207</f>
        <v>414.77689999999996</v>
      </c>
      <c r="E275" s="362">
        <f>Лист1!H50</f>
        <v>50</v>
      </c>
      <c r="F275" s="276">
        <f t="shared" si="32"/>
        <v>20738.844999999998</v>
      </c>
    </row>
    <row r="276" spans="1:10" x14ac:dyDescent="0.25">
      <c r="A276" s="394" t="str">
        <f>Лист1!B51</f>
        <v>Чехол для кресла-мешка</v>
      </c>
      <c r="B276" s="278" t="s">
        <v>93</v>
      </c>
      <c r="C276" s="285"/>
      <c r="D276" s="354">
        <f>Лист1!G51*$A$207</f>
        <v>2.0100000000000002</v>
      </c>
      <c r="E276" s="362">
        <f>Лист1!H51</f>
        <v>2000</v>
      </c>
      <c r="F276" s="276">
        <f t="shared" si="32"/>
        <v>4020.0000000000005</v>
      </c>
    </row>
    <row r="277" spans="1:10" x14ac:dyDescent="0.25">
      <c r="A277" s="394" t="str">
        <f>Лист1!B52</f>
        <v>Наполнитель для кресла-мешка</v>
      </c>
      <c r="B277" s="278" t="s">
        <v>93</v>
      </c>
      <c r="C277" s="285"/>
      <c r="D277" s="354">
        <f>Лист1!G52*$A$207</f>
        <v>0.67</v>
      </c>
      <c r="E277" s="362">
        <f>Лист1!H52</f>
        <v>1500</v>
      </c>
      <c r="F277" s="276">
        <f t="shared" si="32"/>
        <v>1005.0000000000001</v>
      </c>
    </row>
    <row r="278" spans="1:10" x14ac:dyDescent="0.25">
      <c r="A278" s="394" t="str">
        <f>Лист1!B53</f>
        <v>Фотобумага IST глянцевая 100 листов односторонняя 230гр/м</v>
      </c>
      <c r="B278" s="278" t="s">
        <v>93</v>
      </c>
      <c r="C278" s="285"/>
      <c r="D278" s="354">
        <f>Лист1!G53*$A$207</f>
        <v>3.35</v>
      </c>
      <c r="E278" s="362">
        <f>Лист1!H53</f>
        <v>900</v>
      </c>
      <c r="F278" s="276">
        <f t="shared" si="32"/>
        <v>3015</v>
      </c>
    </row>
    <row r="279" spans="1:10" ht="14.45" customHeight="1" x14ac:dyDescent="0.25">
      <c r="A279" s="394" t="str">
        <f>Лист1!B54</f>
        <v>Фотобумага IST глянцевая 100 листов односторонняя 180гр/м</v>
      </c>
      <c r="B279" s="278" t="s">
        <v>93</v>
      </c>
      <c r="C279" s="285"/>
      <c r="D279" s="354">
        <f>Лист1!G54*$A$207</f>
        <v>3.35</v>
      </c>
      <c r="E279" s="362">
        <f>Лист1!H54</f>
        <v>700</v>
      </c>
      <c r="F279" s="276">
        <f t="shared" si="32"/>
        <v>2345</v>
      </c>
      <c r="H279" s="241"/>
      <c r="I279" s="126"/>
      <c r="J279" s="127"/>
    </row>
    <row r="280" spans="1:10" x14ac:dyDescent="0.25">
      <c r="A280" s="394" t="str">
        <f>Лист1!B55</f>
        <v>Фотобумага IST глянцевая 100 листов односторонняя 190гр/м</v>
      </c>
      <c r="B280" s="278" t="s">
        <v>93</v>
      </c>
      <c r="C280" s="285"/>
      <c r="D280" s="354">
        <f>Лист1!G55*$A$207</f>
        <v>6.7</v>
      </c>
      <c r="E280" s="362">
        <f>Лист1!H55</f>
        <v>350</v>
      </c>
      <c r="F280" s="276">
        <f t="shared" si="32"/>
        <v>2345</v>
      </c>
      <c r="H280" s="241"/>
      <c r="I280" s="126"/>
      <c r="J280" s="127"/>
    </row>
    <row r="281" spans="1:10" x14ac:dyDescent="0.25">
      <c r="A281" s="394" t="str">
        <f>Лист1!B56</f>
        <v>Тонер ECOSYS</v>
      </c>
      <c r="B281" s="278" t="s">
        <v>93</v>
      </c>
      <c r="C281" s="285"/>
      <c r="D281" s="354">
        <f>Лист1!G56*$A$207</f>
        <v>0.67</v>
      </c>
      <c r="E281" s="362">
        <f>Лист1!H56</f>
        <v>1500</v>
      </c>
      <c r="F281" s="276">
        <f t="shared" si="32"/>
        <v>1005.0000000000001</v>
      </c>
      <c r="H281" s="241"/>
      <c r="I281" s="126"/>
      <c r="J281" s="127"/>
    </row>
    <row r="282" spans="1:10" ht="16.899999999999999" customHeight="1" x14ac:dyDescent="0.25">
      <c r="A282" s="394" t="str">
        <f>Лист1!B57</f>
        <v>Картридж НР С2Р42АЕ</v>
      </c>
      <c r="B282" s="278" t="s">
        <v>93</v>
      </c>
      <c r="C282" s="285"/>
      <c r="D282" s="354">
        <f>Лист1!G57*$A$207</f>
        <v>0.67</v>
      </c>
      <c r="E282" s="362">
        <f>Лист1!H57</f>
        <v>4800</v>
      </c>
      <c r="F282" s="276">
        <f t="shared" si="32"/>
        <v>3216</v>
      </c>
      <c r="H282" s="241"/>
      <c r="I282" s="126"/>
      <c r="J282" s="127"/>
    </row>
    <row r="283" spans="1:10" ht="15.6" customHeight="1" x14ac:dyDescent="0.25">
      <c r="A283" s="394" t="str">
        <f>Лист1!B58</f>
        <v>Аккумулятор X-TREME Arctik  78.1</v>
      </c>
      <c r="B283" s="278" t="s">
        <v>93</v>
      </c>
      <c r="C283" s="285"/>
      <c r="D283" s="354">
        <f>Лист1!G58*$A$207</f>
        <v>0.33500000000000002</v>
      </c>
      <c r="E283" s="362">
        <f>Лист1!H58</f>
        <v>6900</v>
      </c>
      <c r="F283" s="276">
        <f t="shared" si="32"/>
        <v>2311.5</v>
      </c>
      <c r="H283" s="241"/>
      <c r="I283" s="126"/>
      <c r="J283" s="127"/>
    </row>
    <row r="284" spans="1:10" x14ac:dyDescent="0.25">
      <c r="A284" s="394" t="str">
        <f>Лист1!B59</f>
        <v>Амортизатор УАЗ 3159 задн. TRIALLI газомасл.3159-2915006 (3159-2915006)</v>
      </c>
      <c r="B284" s="278" t="s">
        <v>93</v>
      </c>
      <c r="C284" s="285"/>
      <c r="D284" s="354">
        <f>Лист1!G59*$A$207</f>
        <v>1.34</v>
      </c>
      <c r="E284" s="362">
        <f>Лист1!H59</f>
        <v>1560</v>
      </c>
      <c r="F284" s="276">
        <f t="shared" si="32"/>
        <v>2090.4</v>
      </c>
      <c r="H284" s="241"/>
      <c r="I284" s="126"/>
      <c r="J284" s="127"/>
    </row>
    <row r="285" spans="1:10" x14ac:dyDescent="0.25">
      <c r="A285" s="394" t="str">
        <f>Лист1!B60</f>
        <v>Болт М10*1*25 кардана УАЗ в/сб(уп. 20 шт)</v>
      </c>
      <c r="B285" s="278" t="s">
        <v>93</v>
      </c>
      <c r="C285" s="285"/>
      <c r="D285" s="354">
        <f>Лист1!G60*$A$207</f>
        <v>5.36</v>
      </c>
      <c r="E285" s="362">
        <f>Лист1!H60</f>
        <v>20</v>
      </c>
      <c r="F285" s="276">
        <f t="shared" si="32"/>
        <v>107.2</v>
      </c>
      <c r="H285" s="241"/>
      <c r="I285" s="126"/>
      <c r="J285" s="127"/>
    </row>
    <row r="286" spans="1:10" x14ac:dyDescent="0.25">
      <c r="A286" s="394" t="str">
        <f>Лист1!B61</f>
        <v>Винт М8*1,25*12 потай шлиц.торм.барабана Волга Г-2410 290605 (290605-п29)</v>
      </c>
      <c r="B286" s="278" t="s">
        <v>93</v>
      </c>
      <c r="C286" s="285"/>
      <c r="D286" s="354">
        <f>Лист1!G61*$A$207</f>
        <v>8.0400000000000009</v>
      </c>
      <c r="E286" s="362">
        <f>Лист1!H61</f>
        <v>12</v>
      </c>
      <c r="F286" s="276">
        <f t="shared" si="32"/>
        <v>96.480000000000018</v>
      </c>
      <c r="H286" s="241"/>
      <c r="I286" s="126"/>
      <c r="J286" s="127"/>
    </row>
    <row r="287" spans="1:10" x14ac:dyDescent="0.25">
      <c r="A287" s="394" t="str">
        <f>Лист1!B62</f>
        <v>Вкладыш шкворня УАЗ-3160(латунь н/о 2 усика)3160 2304023-10 (3160 2304023-10)</v>
      </c>
      <c r="B287" s="278" t="s">
        <v>93</v>
      </c>
      <c r="C287" s="285"/>
      <c r="D287" s="354">
        <f>Лист1!G62*$A$207</f>
        <v>2.68</v>
      </c>
      <c r="E287" s="362">
        <f>Лист1!H62</f>
        <v>50</v>
      </c>
      <c r="F287" s="276">
        <f t="shared" si="32"/>
        <v>134</v>
      </c>
      <c r="H287" s="241"/>
      <c r="I287" s="126"/>
      <c r="J287" s="127"/>
    </row>
    <row r="288" spans="1:10" x14ac:dyDescent="0.25">
      <c r="A288" s="394" t="str">
        <f>Лист1!B63</f>
        <v>Втулка амортизатора Волга ,УАЗ полиуретан 451-2905432 (451-2905432)</v>
      </c>
      <c r="B288" s="278" t="s">
        <v>93</v>
      </c>
      <c r="C288" s="285"/>
      <c r="D288" s="354">
        <f>Лист1!G63*$A$207</f>
        <v>6.7</v>
      </c>
      <c r="E288" s="362">
        <f>Лист1!H63</f>
        <v>36</v>
      </c>
      <c r="F288" s="276">
        <f t="shared" si="32"/>
        <v>241.20000000000002</v>
      </c>
      <c r="H288" s="241"/>
      <c r="I288" s="126"/>
      <c r="J288" s="127"/>
    </row>
    <row r="289" spans="1:10" x14ac:dyDescent="0.25">
      <c r="A289" s="394" t="str">
        <f>Лист1!B64</f>
        <v>Гайка колесная  М14*1,5 (18, ключ 22) Волга, Соболь, УАЗ</v>
      </c>
      <c r="B289" s="278" t="s">
        <v>93</v>
      </c>
      <c r="C289" s="285"/>
      <c r="D289" s="354">
        <f>Лист1!G64*$A$207</f>
        <v>6.7</v>
      </c>
      <c r="E289" s="362">
        <f>Лист1!H64</f>
        <v>18</v>
      </c>
      <c r="F289" s="276">
        <f t="shared" si="32"/>
        <v>120.60000000000001</v>
      </c>
      <c r="H289" s="241"/>
      <c r="I289" s="126"/>
      <c r="J289" s="127"/>
    </row>
    <row r="290" spans="1:10" x14ac:dyDescent="0.25">
      <c r="A290" s="394" t="str">
        <f>Лист1!B65</f>
        <v>Катушка зажигания 405 дв.(АТЭ-1)3032.3705 (3032.3705)</v>
      </c>
      <c r="B290" s="278" t="s">
        <v>93</v>
      </c>
      <c r="C290" s="285"/>
      <c r="D290" s="354">
        <f>Лист1!G65*$A$207</f>
        <v>1.34</v>
      </c>
      <c r="E290" s="362">
        <f>Лист1!H65</f>
        <v>875</v>
      </c>
      <c r="F290" s="276">
        <f t="shared" ref="F290:F354" si="33">D290*E290</f>
        <v>1172.5</v>
      </c>
      <c r="H290" s="241"/>
      <c r="I290" s="126"/>
      <c r="J290" s="127"/>
    </row>
    <row r="291" spans="1:10" ht="25.5" x14ac:dyDescent="0.25">
      <c r="A291" s="394" t="str">
        <f>Лист1!B66</f>
        <v>Колодка переднего тормоза (к-т 4 шт.)УАЗ Оригинал(ТИИР) 3163 3501088 (3163 3501088)</v>
      </c>
      <c r="B291" s="278" t="s">
        <v>93</v>
      </c>
      <c r="C291" s="285"/>
      <c r="D291" s="354">
        <f>Лист1!G66*$A$207</f>
        <v>1.34</v>
      </c>
      <c r="E291" s="362">
        <f>Лист1!H66</f>
        <v>672</v>
      </c>
      <c r="F291" s="276">
        <f t="shared" si="33"/>
        <v>900.48</v>
      </c>
      <c r="H291" s="241"/>
      <c r="I291" s="126"/>
      <c r="J291" s="127"/>
    </row>
    <row r="292" spans="1:10" x14ac:dyDescent="0.25">
      <c r="A292" s="394" t="str">
        <f>Лист1!B67</f>
        <v>Кольцо крестовины карданного вала</v>
      </c>
      <c r="B292" s="278" t="s">
        <v>93</v>
      </c>
      <c r="C292" s="285"/>
      <c r="D292" s="354">
        <f>Лист1!G67*$A$207</f>
        <v>2.68</v>
      </c>
      <c r="E292" s="362">
        <f>Лист1!H67</f>
        <v>10</v>
      </c>
      <c r="F292" s="276">
        <f t="shared" si="33"/>
        <v>26.8</v>
      </c>
      <c r="H292" s="241"/>
      <c r="I292" s="126"/>
      <c r="J292" s="127"/>
    </row>
    <row r="293" spans="1:10" ht="25.5" x14ac:dyDescent="0.25">
      <c r="A293" s="394" t="str">
        <f>Лист1!B68</f>
        <v>Комплект ГРМ(полный)ЗМЗ 405-409 ЕВРО-3 "Идеальная фаза"(двухрядная цепь 72/92 Ditton)406.3906625-05 (406.3906625-05)</v>
      </c>
      <c r="B293" s="278" t="s">
        <v>93</v>
      </c>
      <c r="C293" s="285"/>
      <c r="D293" s="354">
        <f>Лист1!G68*$A$207</f>
        <v>0.33500000000000002</v>
      </c>
      <c r="E293" s="362">
        <f>Лист1!H68</f>
        <v>6377</v>
      </c>
      <c r="F293" s="276">
        <f t="shared" si="33"/>
        <v>2136.2950000000001</v>
      </c>
      <c r="H293" s="241"/>
      <c r="I293" s="126"/>
      <c r="J293" s="127"/>
    </row>
    <row r="294" spans="1:10" x14ac:dyDescent="0.25">
      <c r="A294" s="394" t="str">
        <f>Лист1!B69</f>
        <v>Комплект прокладок на дв.4091 Саморим УАЗ 452</v>
      </c>
      <c r="B294" s="278" t="s">
        <v>93</v>
      </c>
      <c r="C294" s="285"/>
      <c r="D294" s="354">
        <f>Лист1!G69*$A$207</f>
        <v>0.33500000000000002</v>
      </c>
      <c r="E294" s="362">
        <f>Лист1!H69</f>
        <v>1037</v>
      </c>
      <c r="F294" s="276">
        <f t="shared" si="33"/>
        <v>347.39500000000004</v>
      </c>
      <c r="H294" s="241"/>
      <c r="I294" s="126"/>
      <c r="J294" s="127"/>
    </row>
    <row r="295" spans="1:10" ht="25.5" x14ac:dyDescent="0.25">
      <c r="A295" s="394" t="str">
        <f>Лист1!B70</f>
        <v>Крестовина кардан.вала УАЗ(АДС)с масленкой и стопорными кольцами 42000.0469-2201025-00 (ВК469-2201025)</v>
      </c>
      <c r="B295" s="278" t="s">
        <v>93</v>
      </c>
      <c r="C295" s="285"/>
      <c r="D295" s="354">
        <f>Лист1!G70*$A$207</f>
        <v>1.34</v>
      </c>
      <c r="E295" s="362">
        <f>Лист1!H70</f>
        <v>570</v>
      </c>
      <c r="F295" s="276">
        <f t="shared" si="33"/>
        <v>763.80000000000007</v>
      </c>
      <c r="H295" s="241"/>
      <c r="I295" s="126"/>
      <c r="J295" s="127"/>
    </row>
    <row r="296" spans="1:10" x14ac:dyDescent="0.25">
      <c r="A296" s="394" t="str">
        <f>Лист1!B71</f>
        <v>Накладка педали сцепления УАЗ 2206</v>
      </c>
      <c r="B296" s="278" t="s">
        <v>93</v>
      </c>
      <c r="C296" s="285"/>
      <c r="D296" s="354">
        <f>Лист1!G71*$A$207</f>
        <v>0.33500000000000002</v>
      </c>
      <c r="E296" s="362">
        <f>Лист1!H71</f>
        <v>29</v>
      </c>
      <c r="F296" s="276">
        <f t="shared" si="33"/>
        <v>9.7149999999999999</v>
      </c>
      <c r="H296" s="241"/>
      <c r="I296" s="126"/>
      <c r="J296" s="127"/>
    </row>
    <row r="297" spans="1:10" x14ac:dyDescent="0.25">
      <c r="A297" s="394" t="str">
        <f>Лист1!B72</f>
        <v>Наконечник рулевой тяги левый "АДС-Expert" 469-3414057-01 (469-3414057-01)</v>
      </c>
      <c r="B297" s="278" t="s">
        <v>93</v>
      </c>
      <c r="C297" s="285"/>
      <c r="D297" s="354">
        <f>Лист1!G72*$A$207</f>
        <v>0.67</v>
      </c>
      <c r="E297" s="362">
        <f>Лист1!H72</f>
        <v>450</v>
      </c>
      <c r="F297" s="276">
        <f t="shared" si="33"/>
        <v>301.5</v>
      </c>
      <c r="H297" s="241"/>
      <c r="I297" s="126"/>
      <c r="J297" s="127"/>
    </row>
    <row r="298" spans="1:10" x14ac:dyDescent="0.25">
      <c r="A298" s="394" t="str">
        <f>Лист1!B73</f>
        <v>Наконечник рулевой тяги правый "АДС-Expert" 469-3414056-01 (469-3414056-01)</v>
      </c>
      <c r="B298" s="278" t="s">
        <v>93</v>
      </c>
      <c r="C298" s="285"/>
      <c r="D298" s="354">
        <f>Лист1!G73*$A$207</f>
        <v>2.0100000000000002</v>
      </c>
      <c r="E298" s="362">
        <f>Лист1!H73</f>
        <v>450</v>
      </c>
      <c r="F298" s="276">
        <f t="shared" si="33"/>
        <v>904.50000000000011</v>
      </c>
      <c r="H298" s="241"/>
      <c r="I298" s="126"/>
      <c r="J298" s="127"/>
    </row>
    <row r="299" spans="1:10" x14ac:dyDescent="0.25">
      <c r="A299" s="394" t="str">
        <f>Лист1!B74</f>
        <v>Патрубки радиатора УАЗ Патриот 409дв.без кондиционера(силикон)(к-т 3шт)</v>
      </c>
      <c r="B299" s="278" t="s">
        <v>93</v>
      </c>
      <c r="C299" s="285"/>
      <c r="D299" s="354">
        <f>Лист1!G74*$A$207</f>
        <v>0.33500000000000002</v>
      </c>
      <c r="E299" s="362">
        <f>Лист1!H74</f>
        <v>1920</v>
      </c>
      <c r="F299" s="276">
        <f t="shared" si="33"/>
        <v>643.20000000000005</v>
      </c>
      <c r="H299" s="241"/>
      <c r="I299" s="126"/>
      <c r="J299" s="127"/>
    </row>
    <row r="300" spans="1:10" x14ac:dyDescent="0.25">
      <c r="A300" s="394" t="str">
        <f>Лист1!B75</f>
        <v>Подшипник ступичный 127509</v>
      </c>
      <c r="B300" s="278" t="s">
        <v>93</v>
      </c>
      <c r="C300" s="285"/>
      <c r="D300" s="354">
        <f>Лист1!G75*$A$207</f>
        <v>2.68</v>
      </c>
      <c r="E300" s="362">
        <f>Лист1!H75</f>
        <v>592</v>
      </c>
      <c r="F300" s="276">
        <f t="shared" si="33"/>
        <v>1586.5600000000002</v>
      </c>
      <c r="H300" s="241"/>
      <c r="I300" s="126"/>
      <c r="J300" s="127"/>
    </row>
    <row r="301" spans="1:10" x14ac:dyDescent="0.25">
      <c r="A301" s="394" t="str">
        <f>Лист1!B76</f>
        <v>Провода в/в 4091 дв.с наконеч.силикон.4091-3707244 (4091-3707244)</v>
      </c>
      <c r="B301" s="278" t="s">
        <v>93</v>
      </c>
      <c r="C301" s="285"/>
      <c r="D301" s="354">
        <f>Лист1!G76*$A$207</f>
        <v>0.67</v>
      </c>
      <c r="E301" s="362">
        <f>Лист1!H76</f>
        <v>1025</v>
      </c>
      <c r="F301" s="276">
        <f t="shared" si="33"/>
        <v>686.75</v>
      </c>
      <c r="H301" s="241"/>
      <c r="I301" s="126"/>
      <c r="J301" s="127"/>
    </row>
    <row r="302" spans="1:10" x14ac:dyDescent="0.25">
      <c r="A302" s="394" t="str">
        <f>Лист1!B77</f>
        <v>Прокладка крышки полуоси(паронит)3151-2407048 (3151-2407048)</v>
      </c>
      <c r="B302" s="278" t="s">
        <v>93</v>
      </c>
      <c r="C302" s="285"/>
      <c r="D302" s="354">
        <f>Лист1!G77*$A$207</f>
        <v>3.35</v>
      </c>
      <c r="E302" s="362">
        <f>Лист1!H77</f>
        <v>15</v>
      </c>
      <c r="F302" s="276">
        <f t="shared" si="33"/>
        <v>50.25</v>
      </c>
      <c r="H302" s="241"/>
      <c r="I302" s="126"/>
      <c r="J302" s="127"/>
    </row>
    <row r="303" spans="1:10" ht="25.5" x14ac:dyDescent="0.25">
      <c r="A303" s="394" t="str">
        <f>Лист1!B78</f>
        <v>Ремень (1275  мм 6РК) ЗМЗ-40524, 40525 ЕВРО -3 без ГУР "LUZAR" (40624 1308020-01)</v>
      </c>
      <c r="B303" s="278" t="s">
        <v>93</v>
      </c>
      <c r="C303" s="285"/>
      <c r="D303" s="354">
        <f>Лист1!G78*$A$207</f>
        <v>1.0050000000000001</v>
      </c>
      <c r="E303" s="362">
        <f>Лист1!H78</f>
        <v>467</v>
      </c>
      <c r="F303" s="276">
        <f t="shared" si="33"/>
        <v>469.33500000000004</v>
      </c>
      <c r="H303" s="241"/>
      <c r="I303" s="126"/>
      <c r="J303" s="127"/>
    </row>
    <row r="304" spans="1:10" ht="25.5" x14ac:dyDescent="0.25">
      <c r="A304" s="394" t="str">
        <f>Лист1!B79</f>
        <v>Ремень 1195 - 6 РК привода ГУР "OLEX POLY V BELT"3163-00-1308020-02 (3163-00-1308020-02)</v>
      </c>
      <c r="B304" s="278" t="s">
        <v>93</v>
      </c>
      <c r="C304" s="285"/>
      <c r="D304" s="354">
        <f>Лист1!G79*$A$207</f>
        <v>1.0050000000000001</v>
      </c>
      <c r="E304" s="362">
        <f>Лист1!H79</f>
        <v>285</v>
      </c>
      <c r="F304" s="276">
        <f t="shared" si="33"/>
        <v>286.42500000000001</v>
      </c>
      <c r="H304" s="241"/>
      <c r="I304" s="126"/>
      <c r="J304" s="127"/>
    </row>
    <row r="305" spans="1:10" x14ac:dyDescent="0.25">
      <c r="A305" s="394" t="str">
        <f>Лист1!B80</f>
        <v>Ремень буксировочный 6/9т 6м (а/м до 3т)  Крюк/Крюк +сумка(олива) Tplus</v>
      </c>
      <c r="B305" s="278" t="s">
        <v>93</v>
      </c>
      <c r="C305" s="285"/>
      <c r="D305" s="354">
        <f>Лист1!G80*$A$207</f>
        <v>0.33500000000000002</v>
      </c>
      <c r="E305" s="362">
        <f>Лист1!H80</f>
        <v>1260</v>
      </c>
      <c r="F305" s="276">
        <f t="shared" si="33"/>
        <v>422.1</v>
      </c>
      <c r="H305" s="241"/>
      <c r="I305" s="126"/>
      <c r="J305" s="127"/>
    </row>
    <row r="306" spans="1:10" ht="25.5" x14ac:dyDescent="0.25">
      <c r="A306" s="394" t="str">
        <f>Лист1!B81</f>
        <v>Ремкомплект поворотного кулака УАЗ мост Спайсер с полиуретановым сальником 3160-2304052 (3160-2304052)</v>
      </c>
      <c r="B306" s="278" t="s">
        <v>93</v>
      </c>
      <c r="C306" s="285"/>
      <c r="D306" s="354">
        <f>Лист1!G81*$A$207</f>
        <v>1.34</v>
      </c>
      <c r="E306" s="362">
        <f>Лист1!H81</f>
        <v>191</v>
      </c>
      <c r="F306" s="276">
        <f t="shared" si="33"/>
        <v>255.94000000000003</v>
      </c>
      <c r="H306" s="241"/>
      <c r="I306" s="126"/>
      <c r="J306" s="127"/>
    </row>
    <row r="307" spans="1:10" ht="25.5" x14ac:dyDescent="0.25">
      <c r="A307" s="394" t="str">
        <f>Лист1!B82</f>
        <v>Ремкомплект шкворня УАЗ Хантер,Патриот мост Спайсер н/о(2 уса) с вкладышами)"Ваксойл"3163-230401 (3163-230401)</v>
      </c>
      <c r="B307" s="278" t="s">
        <v>93</v>
      </c>
      <c r="C307" s="285"/>
      <c r="D307" s="354">
        <f>Лист1!G82*$A$207</f>
        <v>0.67</v>
      </c>
      <c r="E307" s="362">
        <f>Лист1!H82</f>
        <v>2845</v>
      </c>
      <c r="F307" s="276">
        <f t="shared" si="33"/>
        <v>1906.15</v>
      </c>
      <c r="H307" s="241"/>
      <c r="I307" s="126"/>
      <c r="J307" s="127"/>
    </row>
    <row r="308" spans="1:10" ht="25.5" x14ac:dyDescent="0.25">
      <c r="A308" s="394" t="str">
        <f>Лист1!B83</f>
        <v>Сайлентблок передней подвески УАЗ резинометаллический (малый) 3160-2909027 (3160-2909027)</v>
      </c>
      <c r="B308" s="278" t="s">
        <v>93</v>
      </c>
      <c r="C308" s="285"/>
      <c r="D308" s="354">
        <f>Лист1!G83*$A$207</f>
        <v>2.0100000000000002</v>
      </c>
      <c r="E308" s="362">
        <f>Лист1!H83</f>
        <v>405</v>
      </c>
      <c r="F308" s="276">
        <f t="shared" si="33"/>
        <v>814.05000000000007</v>
      </c>
      <c r="H308" s="241"/>
      <c r="I308" s="126"/>
      <c r="J308" s="127"/>
    </row>
    <row r="309" spans="1:10" x14ac:dyDescent="0.25">
      <c r="A309" s="394" t="str">
        <f>Лист1!B84</f>
        <v>Сайлентблок рессоры УАЗ-Патриот 3163(завод)3163-2912020 (3163-2912020)</v>
      </c>
      <c r="B309" s="278" t="s">
        <v>93</v>
      </c>
      <c r="C309" s="285"/>
      <c r="D309" s="354">
        <f>Лист1!G84*$A$207</f>
        <v>2.68</v>
      </c>
      <c r="E309" s="362">
        <f>Лист1!H84</f>
        <v>288</v>
      </c>
      <c r="F309" s="276">
        <f t="shared" si="33"/>
        <v>771.84</v>
      </c>
      <c r="H309" s="241"/>
      <c r="I309" s="126"/>
      <c r="J309" s="127"/>
    </row>
    <row r="310" spans="1:10" ht="25.5" x14ac:dyDescent="0.25">
      <c r="A310" s="394" t="str">
        <f>Лист1!B85</f>
        <v>Сальник (55х70х8) коленвала передний 406дв."Кортеко"(Германия)406.1005034-02 (406.1005034-02)</v>
      </c>
      <c r="B310" s="278" t="s">
        <v>93</v>
      </c>
      <c r="C310" s="285"/>
      <c r="D310" s="354">
        <f>Лист1!G85*$A$207</f>
        <v>0.67</v>
      </c>
      <c r="E310" s="362">
        <f>Лист1!H85</f>
        <v>198</v>
      </c>
      <c r="F310" s="276">
        <f t="shared" si="33"/>
        <v>132.66</v>
      </c>
      <c r="H310" s="241"/>
      <c r="I310" s="126"/>
      <c r="J310" s="127"/>
    </row>
    <row r="311" spans="1:10" x14ac:dyDescent="0.25">
      <c r="A311" s="394" t="str">
        <f>Лист1!B86</f>
        <v>Сальник (60х85х10) ступицы  NAK International 3741-3103038 (3741-3103038)</v>
      </c>
      <c r="B311" s="278" t="s">
        <v>93</v>
      </c>
      <c r="C311" s="285"/>
      <c r="D311" s="354">
        <f>Лист1!G86*$A$207</f>
        <v>8.0400000000000009</v>
      </c>
      <c r="E311" s="362">
        <f>Лист1!H86</f>
        <v>192</v>
      </c>
      <c r="F311" s="276">
        <f t="shared" si="33"/>
        <v>1543.6800000000003</v>
      </c>
      <c r="H311" s="241"/>
      <c r="I311" s="126"/>
      <c r="J311" s="127"/>
    </row>
    <row r="312" spans="1:10" x14ac:dyDescent="0.25">
      <c r="A312" s="394" t="str">
        <f>Лист1!B87</f>
        <v>Сальник к/вала задний 100л.с. 80х100х10(NAK intarnational)</v>
      </c>
      <c r="B312" s="278" t="s">
        <v>93</v>
      </c>
      <c r="C312" s="285"/>
      <c r="D312" s="354">
        <f>Лист1!G87*$A$207</f>
        <v>0.67</v>
      </c>
      <c r="E312" s="362">
        <f>Лист1!H87</f>
        <v>187</v>
      </c>
      <c r="F312" s="276">
        <f t="shared" si="33"/>
        <v>125.29</v>
      </c>
      <c r="H312" s="241"/>
      <c r="I312" s="126"/>
      <c r="J312" s="127"/>
    </row>
    <row r="313" spans="1:10" ht="25.5" x14ac:dyDescent="0.25">
      <c r="A313" s="394" t="str">
        <f>Лист1!B88</f>
        <v>Сальник хвостовика 42х68х 10/14,5 усиленный "NAK"3741-00-1701210-03 (3741-00-1701210-03)</v>
      </c>
      <c r="B313" s="278" t="s">
        <v>93</v>
      </c>
      <c r="C313" s="285"/>
      <c r="D313" s="354">
        <f>Лист1!G88*$A$207</f>
        <v>2.68</v>
      </c>
      <c r="E313" s="362">
        <f>Лист1!H88</f>
        <v>175</v>
      </c>
      <c r="F313" s="276">
        <f t="shared" si="33"/>
        <v>469</v>
      </c>
      <c r="H313" s="241"/>
      <c r="I313" s="126"/>
      <c r="J313" s="127"/>
    </row>
    <row r="314" spans="1:10" x14ac:dyDescent="0.25">
      <c r="A314" s="394" t="str">
        <f>Лист1!B89</f>
        <v>Сальник шруса (в мет. обойме)(32х50х10)(19000078)3741-2304071 (3741-2304071)</v>
      </c>
      <c r="B314" s="278" t="s">
        <v>93</v>
      </c>
      <c r="C314" s="285"/>
      <c r="D314" s="354">
        <f>Лист1!G89*$A$207</f>
        <v>1.34</v>
      </c>
      <c r="E314" s="362">
        <f>Лист1!H89</f>
        <v>59</v>
      </c>
      <c r="F314" s="276">
        <f t="shared" si="33"/>
        <v>79.06</v>
      </c>
      <c r="H314" s="241"/>
      <c r="I314" s="126"/>
      <c r="J314" s="127"/>
    </row>
    <row r="315" spans="1:10" x14ac:dyDescent="0.25">
      <c r="A315" s="394" t="str">
        <f>Лист1!B90</f>
        <v>Свеча зажигания DENSO  Q16ТТ#4  4607#4 (1 шт.)</v>
      </c>
      <c r="B315" s="278" t="s">
        <v>93</v>
      </c>
      <c r="C315" s="285"/>
      <c r="D315" s="354">
        <f>Лист1!G90*$A$207</f>
        <v>2.68</v>
      </c>
      <c r="E315" s="362">
        <f>Лист1!H90</f>
        <v>185</v>
      </c>
      <c r="F315" s="276">
        <f t="shared" si="33"/>
        <v>495.8</v>
      </c>
      <c r="H315" s="241"/>
      <c r="I315" s="126"/>
      <c r="J315" s="127"/>
    </row>
    <row r="316" spans="1:10" x14ac:dyDescent="0.25">
      <c r="A316" s="394" t="str">
        <f>Лист1!B91</f>
        <v>Скоба омегообр. с резьбой г/п 2,0т тип G 209 ХЛ</v>
      </c>
      <c r="B316" s="278" t="s">
        <v>93</v>
      </c>
      <c r="C316" s="285"/>
      <c r="D316" s="354">
        <f>Лист1!G91*$A$207</f>
        <v>0.33500000000000002</v>
      </c>
      <c r="E316" s="362">
        <f>Лист1!H91</f>
        <v>175</v>
      </c>
      <c r="F316" s="276">
        <f t="shared" si="33"/>
        <v>58.625</v>
      </c>
      <c r="H316" s="241"/>
      <c r="I316" s="126"/>
      <c r="J316" s="127"/>
    </row>
    <row r="317" spans="1:10" x14ac:dyDescent="0.25">
      <c r="A317" s="394" t="str">
        <f>Лист1!B92</f>
        <v>Строп динамический (рывковый) 6т,  9 м, серия "Стандарт" TPlus</v>
      </c>
      <c r="B317" s="278" t="s">
        <v>93</v>
      </c>
      <c r="C317" s="285"/>
      <c r="D317" s="354">
        <f>Лист1!G92*$A$207</f>
        <v>0.33500000000000002</v>
      </c>
      <c r="E317" s="362">
        <f>Лист1!H92</f>
        <v>1750</v>
      </c>
      <c r="F317" s="276">
        <f t="shared" si="33"/>
        <v>586.25</v>
      </c>
      <c r="H317" s="241"/>
      <c r="I317" s="126"/>
      <c r="J317" s="127"/>
    </row>
    <row r="318" spans="1:10" ht="25.5" x14ac:dyDescent="0.25">
      <c r="A318" s="394" t="str">
        <f>Лист1!B93</f>
        <v>Ступица заднего колеса УАЗ-3163(с имп.диском в сборе АБС)3163-3104006 (3163-3104006)</v>
      </c>
      <c r="B318" s="278" t="s">
        <v>93</v>
      </c>
      <c r="C318" s="285"/>
      <c r="D318" s="354">
        <f>Лист1!G93*$A$207</f>
        <v>0.33500000000000002</v>
      </c>
      <c r="E318" s="362">
        <f>Лист1!H93</f>
        <v>4460</v>
      </c>
      <c r="F318" s="276">
        <f t="shared" si="33"/>
        <v>1494.1000000000001</v>
      </c>
      <c r="H318" s="241"/>
      <c r="I318" s="126"/>
      <c r="J318" s="127"/>
    </row>
    <row r="319" spans="1:10" ht="25.5" x14ac:dyDescent="0.25">
      <c r="A319" s="394" t="str">
        <f>Лист1!B94</f>
        <v>Сцепление к-т ЗМЗ-409"LUK"(с выжимным подшипником АДС)3163 06 1601006 (3163 06 1601006)</v>
      </c>
      <c r="B319" s="278" t="s">
        <v>93</v>
      </c>
      <c r="C319" s="285"/>
      <c r="D319" s="354">
        <f>Лист1!G94*$A$207</f>
        <v>0.33500000000000002</v>
      </c>
      <c r="E319" s="362">
        <f>Лист1!H94</f>
        <v>8725</v>
      </c>
      <c r="F319" s="276">
        <f t="shared" si="33"/>
        <v>2922.875</v>
      </c>
      <c r="H319" s="241"/>
      <c r="I319" s="126"/>
      <c r="J319" s="127"/>
    </row>
    <row r="320" spans="1:10" x14ac:dyDescent="0.25">
      <c r="A320" s="394" t="str">
        <f>Лист1!B95</f>
        <v>Термостат Т-118 t-87 (УМЗ4216) Электон  Т118-1306100-04</v>
      </c>
      <c r="B320" s="278" t="s">
        <v>93</v>
      </c>
      <c r="C320" s="285"/>
      <c r="D320" s="354">
        <f>Лист1!G95*$A$207</f>
        <v>0.67</v>
      </c>
      <c r="E320" s="362">
        <f>Лист1!H95</f>
        <v>315</v>
      </c>
      <c r="F320" s="276">
        <f t="shared" si="33"/>
        <v>211.05</v>
      </c>
      <c r="H320" s="241"/>
      <c r="I320" s="126"/>
      <c r="J320" s="127"/>
    </row>
    <row r="321" spans="1:10" x14ac:dyDescent="0.25">
      <c r="A321" s="394" t="str">
        <f>Лист1!B96</f>
        <v>Тормозная жидкость G-Energy EXPERT DOT4 (0.910кг)</v>
      </c>
      <c r="B321" s="278" t="s">
        <v>93</v>
      </c>
      <c r="C321" s="285"/>
      <c r="D321" s="354">
        <f>Лист1!G96*$A$207</f>
        <v>0.67</v>
      </c>
      <c r="E321" s="362">
        <f>Лист1!H96</f>
        <v>234</v>
      </c>
      <c r="F321" s="276">
        <f t="shared" si="33"/>
        <v>156.78</v>
      </c>
      <c r="H321" s="241"/>
      <c r="I321" s="126"/>
      <c r="J321" s="127"/>
    </row>
    <row r="322" spans="1:10" ht="25.5" x14ac:dyDescent="0.25">
      <c r="A322" s="394" t="str">
        <f>Лист1!B97</f>
        <v>Уплотнитель свечного колодца 406 дв.(ЕВРО-2)(Силикон синий) 406.1007248-10 (406.1007248-10)</v>
      </c>
      <c r="B322" s="278" t="s">
        <v>93</v>
      </c>
      <c r="C322" s="285"/>
      <c r="D322" s="354">
        <f>Лист1!G97*$A$207</f>
        <v>0.33500000000000002</v>
      </c>
      <c r="E322" s="362">
        <f>Лист1!H97</f>
        <v>96</v>
      </c>
      <c r="F322" s="276">
        <f t="shared" si="33"/>
        <v>32.160000000000004</v>
      </c>
      <c r="H322" s="241"/>
      <c r="I322" s="126"/>
      <c r="J322" s="127"/>
    </row>
    <row r="323" spans="1:10" x14ac:dyDescent="0.25">
      <c r="A323" s="394" t="str">
        <f>Лист1!B98</f>
        <v>Утеплитель лобовой наружный с дверями УАЗ-452(ватин/венил/кожа)</v>
      </c>
      <c r="B323" s="278" t="s">
        <v>93</v>
      </c>
      <c r="C323" s="285"/>
      <c r="D323" s="354">
        <f>Лист1!G98*$A$207</f>
        <v>0.33500000000000002</v>
      </c>
      <c r="E323" s="362">
        <f>Лист1!H98</f>
        <v>1220</v>
      </c>
      <c r="F323" s="276">
        <f t="shared" si="33"/>
        <v>408.70000000000005</v>
      </c>
      <c r="H323" s="241"/>
      <c r="I323" s="126"/>
      <c r="J323" s="127"/>
    </row>
    <row r="324" spans="1:10" x14ac:dyDescent="0.25">
      <c r="A324" s="394" t="str">
        <f>Лист1!B99</f>
        <v>Фильтр масляный MANN-FILTER W 914/2(W 812)(W 813)(W 914/2 n)(W 914/5)"10"</v>
      </c>
      <c r="B324" s="278" t="s">
        <v>93</v>
      </c>
      <c r="C324" s="285"/>
      <c r="D324" s="354">
        <f>Лист1!G99*$A$207</f>
        <v>1.34</v>
      </c>
      <c r="E324" s="362">
        <f>Лист1!H99</f>
        <v>330</v>
      </c>
      <c r="F324" s="276">
        <f t="shared" si="33"/>
        <v>442.20000000000005</v>
      </c>
      <c r="H324" s="241"/>
      <c r="I324" s="126"/>
      <c r="J324" s="127"/>
    </row>
    <row r="325" spans="1:10" ht="25.5" x14ac:dyDescent="0.25">
      <c r="A325" s="394" t="str">
        <f>Лист1!B100</f>
        <v>Фильтр топливный УАЗ ( инжектор штуцера с резьбой)УАЗ Оригиннал 3151-96-1117010 (3151-96-1117010)</v>
      </c>
      <c r="B325" s="278" t="s">
        <v>93</v>
      </c>
      <c r="C325" s="285"/>
      <c r="D325" s="354">
        <f>Лист1!G100*$A$207</f>
        <v>1.34</v>
      </c>
      <c r="E325" s="362">
        <f>Лист1!H100</f>
        <v>350</v>
      </c>
      <c r="F325" s="276">
        <f t="shared" si="33"/>
        <v>469</v>
      </c>
      <c r="H325" s="241"/>
      <c r="I325" s="126"/>
      <c r="J325" s="127"/>
    </row>
    <row r="326" spans="1:10" ht="25.5" x14ac:dyDescent="0.25">
      <c r="A326" s="394" t="str">
        <f>Лист1!B101</f>
        <v>Цилиндр тормозной задний УАЗ 3160,3162 Патриот(d=28мм)KNU 3160 3502040 (3160 3502040)</v>
      </c>
      <c r="B326" s="278" t="s">
        <v>93</v>
      </c>
      <c r="C326" s="285"/>
      <c r="D326" s="354">
        <f>Лист1!G101*$A$207</f>
        <v>1.34</v>
      </c>
      <c r="E326" s="362">
        <f>Лист1!H101</f>
        <v>545</v>
      </c>
      <c r="F326" s="276">
        <f t="shared" si="33"/>
        <v>730.30000000000007</v>
      </c>
      <c r="H326" s="241"/>
      <c r="I326" s="126"/>
      <c r="J326" s="127"/>
    </row>
    <row r="327" spans="1:10" x14ac:dyDescent="0.25">
      <c r="A327" s="394" t="str">
        <f>Лист1!B102</f>
        <v>Шакл (скоба омегообр. с резьбой г/п 3,25т)тип G209 ХЛ</v>
      </c>
      <c r="B327" s="278" t="s">
        <v>93</v>
      </c>
      <c r="C327" s="285"/>
      <c r="D327" s="354">
        <f>Лист1!G102*$A$207</f>
        <v>0.33500000000000002</v>
      </c>
      <c r="E327" s="362">
        <f>Лист1!H102</f>
        <v>285</v>
      </c>
      <c r="F327" s="276">
        <f t="shared" si="33"/>
        <v>95.475000000000009</v>
      </c>
      <c r="H327" s="241"/>
      <c r="I327" s="126"/>
      <c r="J327" s="127"/>
    </row>
    <row r="328" spans="1:10" x14ac:dyDescent="0.25">
      <c r="A328" s="394" t="str">
        <f>Лист1!B103</f>
        <v>Шкив помпы 406 дв текстолит 406.1308025-10 ( 406.1308025-10)</v>
      </c>
      <c r="B328" s="278" t="s">
        <v>93</v>
      </c>
      <c r="C328" s="285"/>
      <c r="D328" s="354">
        <f>Лист1!G103*$A$207</f>
        <v>1.0050000000000001</v>
      </c>
      <c r="E328" s="362">
        <f>Лист1!H103</f>
        <v>106</v>
      </c>
      <c r="F328" s="276">
        <f t="shared" si="33"/>
        <v>106.53000000000002</v>
      </c>
      <c r="H328" s="241"/>
      <c r="I328" s="126"/>
      <c r="J328" s="127"/>
    </row>
    <row r="329" spans="1:10" x14ac:dyDescent="0.25">
      <c r="A329" s="394" t="str">
        <f>Лист1!B104</f>
        <v>Шланг тормозной задний УАЗ-452 инжектор.ЕВРО-4 3962-3506061 (3962-3506061)</v>
      </c>
      <c r="B329" s="278" t="s">
        <v>93</v>
      </c>
      <c r="C329" s="285"/>
      <c r="D329" s="354">
        <f>Лист1!G104*$A$207</f>
        <v>1.34</v>
      </c>
      <c r="E329" s="362">
        <f>Лист1!H104</f>
        <v>185</v>
      </c>
      <c r="F329" s="276">
        <f t="shared" si="33"/>
        <v>247.9</v>
      </c>
      <c r="H329" s="241"/>
      <c r="I329" s="126"/>
      <c r="J329" s="127"/>
    </row>
    <row r="330" spans="1:10" x14ac:dyDescent="0.25">
      <c r="A330" s="394" t="str">
        <f>Лист1!B105</f>
        <v>Шланг тормозной передний УАЗ-452 инжектор Евро-4 3962-3506060 (3962-3506060)</v>
      </c>
      <c r="B330" s="278" t="s">
        <v>93</v>
      </c>
      <c r="C330" s="285"/>
      <c r="D330" s="354">
        <f>Лист1!G105*$A$207</f>
        <v>1.34</v>
      </c>
      <c r="E330" s="362">
        <f>Лист1!H105</f>
        <v>216</v>
      </c>
      <c r="F330" s="276">
        <f t="shared" si="33"/>
        <v>289.44</v>
      </c>
      <c r="H330" s="241"/>
      <c r="I330" s="126"/>
      <c r="J330" s="127"/>
    </row>
    <row r="331" spans="1:10" ht="15" customHeight="1" x14ac:dyDescent="0.25">
      <c r="A331" s="394" t="str">
        <f>Лист1!B106</f>
        <v>Шпилька колеса М 14х1,5х45  ГАЗ 2410,УАЗ 20-3103008-Б (20-3103008-Б)</v>
      </c>
      <c r="B331" s="278" t="s">
        <v>93</v>
      </c>
      <c r="C331" s="285"/>
      <c r="D331" s="354">
        <f>Лист1!G106*$A$207</f>
        <v>6.7</v>
      </c>
      <c r="E331" s="362">
        <f>Лист1!H106</f>
        <v>21</v>
      </c>
      <c r="F331" s="276">
        <f t="shared" si="33"/>
        <v>140.70000000000002</v>
      </c>
      <c r="H331" s="241"/>
      <c r="I331" s="126"/>
      <c r="J331" s="127"/>
    </row>
    <row r="332" spans="1:10" ht="25.5" x14ac:dyDescent="0.25">
      <c r="A332" s="394" t="str">
        <f>Лист1!B107</f>
        <v>Элемент воздушного фильтра УАЗ 452 инжектор 4213,409 (низкий)Цитрон 9.1.97 1109080 (9.1.97 1109080)</v>
      </c>
      <c r="B332" s="278" t="s">
        <v>93</v>
      </c>
      <c r="C332" s="285"/>
      <c r="D332" s="354">
        <f>Лист1!G107*$A$207</f>
        <v>0.67</v>
      </c>
      <c r="E332" s="362">
        <f>Лист1!H107</f>
        <v>357</v>
      </c>
      <c r="F332" s="276">
        <f t="shared" si="33"/>
        <v>239.19000000000003</v>
      </c>
      <c r="H332" s="241"/>
      <c r="I332" s="126"/>
      <c r="J332" s="127"/>
    </row>
    <row r="333" spans="1:10" x14ac:dyDescent="0.25">
      <c r="A333" s="394" t="str">
        <f>Лист1!B108</f>
        <v>Кран шаровый</v>
      </c>
      <c r="B333" s="278" t="s">
        <v>93</v>
      </c>
      <c r="C333" s="285"/>
      <c r="D333" s="354">
        <f>Лист1!G108*$A$207</f>
        <v>0.33500000000000002</v>
      </c>
      <c r="E333" s="362">
        <f>Лист1!H108</f>
        <v>280</v>
      </c>
      <c r="F333" s="276">
        <f t="shared" si="33"/>
        <v>93.800000000000011</v>
      </c>
      <c r="H333" s="241"/>
      <c r="I333" s="126"/>
      <c r="J333" s="127"/>
    </row>
    <row r="334" spans="1:10" x14ac:dyDescent="0.25">
      <c r="A334" s="394" t="str">
        <f>Лист1!B109</f>
        <v>Вода дист</v>
      </c>
      <c r="B334" s="278" t="s">
        <v>93</v>
      </c>
      <c r="C334" s="285"/>
      <c r="D334" s="354">
        <f>Лист1!G109*$A$207</f>
        <v>0.33500000000000002</v>
      </c>
      <c r="E334" s="362">
        <f>Лист1!H109</f>
        <v>50</v>
      </c>
      <c r="F334" s="276">
        <f t="shared" si="33"/>
        <v>16.75</v>
      </c>
      <c r="H334" s="241"/>
      <c r="I334" s="126"/>
      <c r="J334" s="127"/>
    </row>
    <row r="335" spans="1:10" x14ac:dyDescent="0.25">
      <c r="A335" s="394" t="str">
        <f>Лист1!B110</f>
        <v>Кислота серная</v>
      </c>
      <c r="B335" s="278" t="s">
        <v>93</v>
      </c>
      <c r="C335" s="285"/>
      <c r="D335" s="354">
        <f>Лист1!G110*$A$207</f>
        <v>1.34</v>
      </c>
      <c r="E335" s="362">
        <f>Лист1!H110</f>
        <v>70</v>
      </c>
      <c r="F335" s="276">
        <f t="shared" si="33"/>
        <v>93.800000000000011</v>
      </c>
      <c r="H335" s="241"/>
      <c r="I335" s="126"/>
      <c r="J335" s="127"/>
    </row>
    <row r="336" spans="1:10" x14ac:dyDescent="0.25">
      <c r="A336" s="394" t="str">
        <f>Лист1!B111</f>
        <v>Пакеты майка</v>
      </c>
      <c r="B336" s="278" t="s">
        <v>93</v>
      </c>
      <c r="C336" s="285"/>
      <c r="D336" s="354">
        <f>Лист1!G111*$A$207</f>
        <v>0.33500000000000002</v>
      </c>
      <c r="E336" s="362">
        <f>Лист1!H111</f>
        <v>5</v>
      </c>
      <c r="F336" s="276">
        <f t="shared" si="33"/>
        <v>1.675</v>
      </c>
      <c r="H336" s="241"/>
      <c r="I336" s="126"/>
      <c r="J336" s="127"/>
    </row>
    <row r="337" spans="1:10" x14ac:dyDescent="0.25">
      <c r="A337" s="394" t="str">
        <f>Лист1!B112</f>
        <v>Уголок мебельный</v>
      </c>
      <c r="B337" s="278" t="s">
        <v>93</v>
      </c>
      <c r="C337" s="285"/>
      <c r="D337" s="354">
        <f>Лист1!G112*$A$207</f>
        <v>3.35</v>
      </c>
      <c r="E337" s="362">
        <f>Лист1!H112</f>
        <v>7</v>
      </c>
      <c r="F337" s="276">
        <f t="shared" si="33"/>
        <v>23.45</v>
      </c>
      <c r="H337" s="241"/>
      <c r="I337" s="126"/>
      <c r="J337" s="127"/>
    </row>
    <row r="338" spans="1:10" x14ac:dyDescent="0.25">
      <c r="A338" s="394" t="str">
        <f>Лист1!B113</f>
        <v>Саморез по гипсокартону</v>
      </c>
      <c r="B338" s="278" t="s">
        <v>93</v>
      </c>
      <c r="C338" s="285"/>
      <c r="D338" s="354">
        <f>Лист1!G113*$A$207</f>
        <v>67</v>
      </c>
      <c r="E338" s="362">
        <f>Лист1!H113</f>
        <v>0.4</v>
      </c>
      <c r="F338" s="276">
        <f t="shared" si="33"/>
        <v>26.8</v>
      </c>
      <c r="H338" s="241"/>
      <c r="I338" s="126"/>
      <c r="J338" s="127"/>
    </row>
    <row r="339" spans="1:10" x14ac:dyDescent="0.25">
      <c r="A339" s="394" t="str">
        <f>Лист1!B114</f>
        <v>Доместос</v>
      </c>
      <c r="B339" s="278" t="s">
        <v>93</v>
      </c>
      <c r="C339" s="285"/>
      <c r="D339" s="354">
        <f>Лист1!G114*$A$207</f>
        <v>1.675</v>
      </c>
      <c r="E339" s="362">
        <f>Лист1!H114</f>
        <v>175</v>
      </c>
      <c r="F339" s="276">
        <f t="shared" si="33"/>
        <v>293.125</v>
      </c>
      <c r="H339" s="241"/>
      <c r="I339" s="126"/>
      <c r="J339" s="127"/>
    </row>
    <row r="340" spans="1:10" x14ac:dyDescent="0.25">
      <c r="A340" s="394" t="str">
        <f>Лист1!B115</f>
        <v>Белизна</v>
      </c>
      <c r="B340" s="278" t="s">
        <v>93</v>
      </c>
      <c r="C340" s="285"/>
      <c r="D340" s="354">
        <f>Лист1!G115*$A$207</f>
        <v>1.675</v>
      </c>
      <c r="E340" s="362">
        <f>Лист1!H115</f>
        <v>53</v>
      </c>
      <c r="F340" s="276">
        <f t="shared" si="33"/>
        <v>88.775000000000006</v>
      </c>
      <c r="H340" s="241"/>
      <c r="I340" s="126"/>
      <c r="J340" s="127"/>
    </row>
    <row r="341" spans="1:10" x14ac:dyDescent="0.25">
      <c r="A341" s="394" t="str">
        <f>Лист1!B116</f>
        <v xml:space="preserve">Пемолюкс </v>
      </c>
      <c r="B341" s="278" t="s">
        <v>93</v>
      </c>
      <c r="C341" s="285"/>
      <c r="D341" s="354">
        <f>Лист1!G116*$A$207</f>
        <v>5.0250000000000004</v>
      </c>
      <c r="E341" s="362">
        <f>Лист1!H116</f>
        <v>60</v>
      </c>
      <c r="F341" s="276">
        <f t="shared" si="33"/>
        <v>301.5</v>
      </c>
      <c r="H341" s="241"/>
      <c r="I341" s="126"/>
      <c r="J341" s="127"/>
    </row>
    <row r="342" spans="1:10" x14ac:dyDescent="0.25">
      <c r="A342" s="394" t="str">
        <f>Лист1!B117</f>
        <v>Мыло</v>
      </c>
      <c r="B342" s="278" t="s">
        <v>93</v>
      </c>
      <c r="C342" s="285"/>
      <c r="D342" s="354">
        <f>Лист1!G117*$A$207</f>
        <v>0.33500000000000002</v>
      </c>
      <c r="E342" s="362">
        <f>Лист1!H117</f>
        <v>132</v>
      </c>
      <c r="F342" s="276">
        <f t="shared" si="33"/>
        <v>44.220000000000006</v>
      </c>
      <c r="H342" s="241"/>
      <c r="I342" s="126"/>
      <c r="J342" s="127"/>
    </row>
    <row r="343" spans="1:10" x14ac:dyDescent="0.25">
      <c r="A343" s="394" t="str">
        <f>Лист1!B118</f>
        <v>Стеклоочиститель с распылителем</v>
      </c>
      <c r="B343" s="278" t="s">
        <v>93</v>
      </c>
      <c r="C343" s="285"/>
      <c r="D343" s="354">
        <f>Лист1!G118*$A$207</f>
        <v>0.33500000000000002</v>
      </c>
      <c r="E343" s="362">
        <f>Лист1!H118</f>
        <v>255</v>
      </c>
      <c r="F343" s="276">
        <f t="shared" si="33"/>
        <v>85.425000000000011</v>
      </c>
      <c r="H343" s="241"/>
      <c r="I343" s="126"/>
      <c r="J343" s="127"/>
    </row>
    <row r="344" spans="1:10" x14ac:dyDescent="0.25">
      <c r="A344" s="394" t="str">
        <f>Лист1!B119</f>
        <v>Стеклоочиститель (сменный блок)</v>
      </c>
      <c r="B344" s="278" t="s">
        <v>93</v>
      </c>
      <c r="C344" s="285"/>
      <c r="D344" s="354">
        <f>Лист1!G119*$A$207</f>
        <v>0.33500000000000002</v>
      </c>
      <c r="E344" s="362">
        <f>Лист1!H119</f>
        <v>55</v>
      </c>
      <c r="F344" s="276">
        <f t="shared" si="33"/>
        <v>18.425000000000001</v>
      </c>
      <c r="H344" s="241"/>
      <c r="I344" s="126"/>
      <c r="J344" s="127"/>
    </row>
    <row r="345" spans="1:10" x14ac:dyDescent="0.25">
      <c r="A345" s="394" t="str">
        <f>Лист1!B120</f>
        <v>Губки</v>
      </c>
      <c r="B345" s="278" t="s">
        <v>93</v>
      </c>
      <c r="C345" s="285"/>
      <c r="D345" s="354">
        <f>Лист1!G120*$A$207</f>
        <v>0.67</v>
      </c>
      <c r="E345" s="362">
        <f>Лист1!H120</f>
        <v>220</v>
      </c>
      <c r="F345" s="276">
        <f t="shared" si="33"/>
        <v>147.4</v>
      </c>
      <c r="H345" s="241"/>
      <c r="I345" s="126"/>
      <c r="J345" s="127"/>
    </row>
    <row r="346" spans="1:10" x14ac:dyDescent="0.25">
      <c r="A346" s="394" t="str">
        <f>Лист1!B121</f>
        <v>Моющее средство МИФ</v>
      </c>
      <c r="B346" s="278" t="s">
        <v>93</v>
      </c>
      <c r="C346" s="285"/>
      <c r="D346" s="354">
        <f>Лист1!G121*$A$207</f>
        <v>1.675</v>
      </c>
      <c r="E346" s="362">
        <f>Лист1!H121</f>
        <v>115</v>
      </c>
      <c r="F346" s="276">
        <f t="shared" si="33"/>
        <v>192.625</v>
      </c>
      <c r="H346" s="241"/>
      <c r="I346" s="126"/>
      <c r="J346" s="127"/>
    </row>
    <row r="347" spans="1:10" x14ac:dyDescent="0.25">
      <c r="A347" s="394" t="str">
        <f>Лист1!B122</f>
        <v>Тряпка вискозная</v>
      </c>
      <c r="B347" s="278" t="s">
        <v>93</v>
      </c>
      <c r="C347" s="285"/>
      <c r="D347" s="354">
        <f>Лист1!G122*$A$207</f>
        <v>1.675</v>
      </c>
      <c r="E347" s="362">
        <f>Лист1!H122</f>
        <v>70</v>
      </c>
      <c r="F347" s="276">
        <f t="shared" si="33"/>
        <v>117.25</v>
      </c>
      <c r="H347" s="241"/>
      <c r="I347" s="126"/>
      <c r="J347" s="127"/>
    </row>
    <row r="348" spans="1:10" x14ac:dyDescent="0.25">
      <c r="A348" s="394" t="str">
        <f>Лист1!B123</f>
        <v>Тряпки</v>
      </c>
      <c r="B348" s="278" t="s">
        <v>93</v>
      </c>
      <c r="C348" s="285"/>
      <c r="D348" s="354">
        <f>Лист1!G123*$A$207</f>
        <v>1.675</v>
      </c>
      <c r="E348" s="362">
        <f>Лист1!H123</f>
        <v>170</v>
      </c>
      <c r="F348" s="276">
        <f t="shared" si="33"/>
        <v>284.75</v>
      </c>
      <c r="H348" s="241"/>
      <c r="I348" s="126"/>
      <c r="J348" s="127"/>
    </row>
    <row r="349" spans="1:10" x14ac:dyDescent="0.25">
      <c r="A349" s="394" t="str">
        <f>Лист1!B124</f>
        <v>Полотенца бумажные</v>
      </c>
      <c r="B349" s="278" t="s">
        <v>93</v>
      </c>
      <c r="C349" s="285"/>
      <c r="D349" s="354">
        <f>Лист1!G124*$A$207</f>
        <v>1.675</v>
      </c>
      <c r="E349" s="362">
        <f>Лист1!H124</f>
        <v>95</v>
      </c>
      <c r="F349" s="276">
        <f t="shared" si="33"/>
        <v>159.125</v>
      </c>
      <c r="H349" s="241"/>
      <c r="I349" s="126"/>
      <c r="J349" s="127"/>
    </row>
    <row r="350" spans="1:10" x14ac:dyDescent="0.25">
      <c r="A350" s="394" t="str">
        <f>Лист1!B125</f>
        <v>Железная губка</v>
      </c>
      <c r="B350" s="278" t="s">
        <v>93</v>
      </c>
      <c r="C350" s="285"/>
      <c r="D350" s="354">
        <f>Лист1!G125*$A$207</f>
        <v>0.67</v>
      </c>
      <c r="E350" s="362">
        <f>Лист1!H125</f>
        <v>30</v>
      </c>
      <c r="F350" s="276">
        <f t="shared" si="33"/>
        <v>20.100000000000001</v>
      </c>
      <c r="H350" s="241"/>
      <c r="I350" s="126"/>
      <c r="J350" s="127"/>
    </row>
    <row r="351" spans="1:10" x14ac:dyDescent="0.25">
      <c r="A351" s="394" t="str">
        <f>Лист1!B126</f>
        <v>Перчатки</v>
      </c>
      <c r="B351" s="278" t="s">
        <v>93</v>
      </c>
      <c r="C351" s="285"/>
      <c r="D351" s="354">
        <f>Лист1!G126*$A$207</f>
        <v>1.675</v>
      </c>
      <c r="E351" s="362">
        <f>Лист1!H126</f>
        <v>60</v>
      </c>
      <c r="F351" s="276">
        <f t="shared" si="33"/>
        <v>100.5</v>
      </c>
      <c r="H351" s="241"/>
      <c r="I351" s="126"/>
      <c r="J351" s="127"/>
    </row>
    <row r="352" spans="1:10" x14ac:dyDescent="0.25">
      <c r="A352" s="394" t="str">
        <f>Лист1!B127</f>
        <v>Блок гигиенический для унитаза</v>
      </c>
      <c r="B352" s="278" t="s">
        <v>93</v>
      </c>
      <c r="C352" s="285"/>
      <c r="D352" s="354">
        <f>Лист1!G127*$A$207</f>
        <v>0.67</v>
      </c>
      <c r="E352" s="362">
        <f>Лист1!H127</f>
        <v>90</v>
      </c>
      <c r="F352" s="276">
        <f t="shared" si="33"/>
        <v>60.300000000000004</v>
      </c>
      <c r="H352" s="241"/>
      <c r="I352" s="126"/>
      <c r="J352" s="127"/>
    </row>
    <row r="353" spans="1:10" x14ac:dyDescent="0.25">
      <c r="A353" s="394" t="str">
        <f>Лист1!B128</f>
        <v>Мыло</v>
      </c>
      <c r="B353" s="278" t="s">
        <v>93</v>
      </c>
      <c r="C353" s="285"/>
      <c r="D353" s="354">
        <f>Лист1!G128*$A$207</f>
        <v>1.675</v>
      </c>
      <c r="E353" s="362">
        <f>Лист1!H128</f>
        <v>45</v>
      </c>
      <c r="F353" s="276">
        <f t="shared" si="33"/>
        <v>75.375</v>
      </c>
      <c r="H353" s="241"/>
      <c r="I353" s="126"/>
      <c r="J353" s="127"/>
    </row>
    <row r="354" spans="1:10" ht="15" customHeight="1" x14ac:dyDescent="0.25">
      <c r="A354" s="394" t="str">
        <f>Лист1!B129</f>
        <v>Мешки для мусора 60 л</v>
      </c>
      <c r="B354" s="278" t="s">
        <v>93</v>
      </c>
      <c r="C354" s="250"/>
      <c r="D354" s="354">
        <f>Лист1!G129*$A$207</f>
        <v>3.35</v>
      </c>
      <c r="E354" s="362">
        <f>Лист1!H129</f>
        <v>90</v>
      </c>
      <c r="F354" s="276">
        <f t="shared" si="33"/>
        <v>301.5</v>
      </c>
      <c r="H354" s="241"/>
      <c r="I354" s="126"/>
      <c r="J354" s="127"/>
    </row>
    <row r="355" spans="1:10" x14ac:dyDescent="0.25">
      <c r="A355" s="394" t="str">
        <f>Лист1!B130</f>
        <v>Мешки для мусора 120 л</v>
      </c>
      <c r="B355" s="278" t="s">
        <v>93</v>
      </c>
      <c r="C355" s="250"/>
      <c r="D355" s="354">
        <f>Лист1!G130*$A$207</f>
        <v>1.675</v>
      </c>
      <c r="E355" s="362">
        <f>Лист1!H130</f>
        <v>100</v>
      </c>
      <c r="F355" s="276">
        <f t="shared" ref="F355:F418" si="34">D355*E355</f>
        <v>167.5</v>
      </c>
      <c r="H355" s="241"/>
      <c r="I355" s="126"/>
      <c r="J355" s="127"/>
    </row>
    <row r="356" spans="1:10" x14ac:dyDescent="0.25">
      <c r="A356" s="394" t="str">
        <f>Лист1!B131</f>
        <v>Мешки для мусора 35 л</v>
      </c>
      <c r="B356" s="278" t="s">
        <v>93</v>
      </c>
      <c r="C356" s="250"/>
      <c r="D356" s="354">
        <f>Лист1!G131*$A$207</f>
        <v>3.35</v>
      </c>
      <c r="E356" s="362">
        <f>Лист1!H131</f>
        <v>50</v>
      </c>
      <c r="F356" s="276">
        <f t="shared" si="34"/>
        <v>167.5</v>
      </c>
      <c r="H356" s="241"/>
      <c r="I356" s="126"/>
      <c r="J356" s="127"/>
    </row>
    <row r="357" spans="1:10" x14ac:dyDescent="0.25">
      <c r="A357" s="394" t="str">
        <f>Лист1!B132</f>
        <v>Туалетная бумага</v>
      </c>
      <c r="B357" s="278" t="s">
        <v>93</v>
      </c>
      <c r="C357" s="250"/>
      <c r="D357" s="354">
        <f>Лист1!G132*$A$207</f>
        <v>16.080000000000002</v>
      </c>
      <c r="E357" s="362">
        <f>Лист1!H132</f>
        <v>18</v>
      </c>
      <c r="F357" s="276">
        <f t="shared" si="34"/>
        <v>289.44000000000005</v>
      </c>
      <c r="H357" s="241"/>
      <c r="I357" s="126"/>
      <c r="J357" s="127"/>
    </row>
    <row r="358" spans="1:10" x14ac:dyDescent="0.25">
      <c r="A358" s="394" t="str">
        <f>Лист1!B133</f>
        <v>Салфетка</v>
      </c>
      <c r="B358" s="278" t="s">
        <v>93</v>
      </c>
      <c r="C358" s="250"/>
      <c r="D358" s="354">
        <f>Лист1!G133*$A$207</f>
        <v>1.675</v>
      </c>
      <c r="E358" s="362">
        <f>Лист1!H133</f>
        <v>30</v>
      </c>
      <c r="F358" s="276">
        <f t="shared" si="34"/>
        <v>50.25</v>
      </c>
      <c r="H358" s="241"/>
      <c r="I358" s="126"/>
      <c r="J358" s="127"/>
    </row>
    <row r="359" spans="1:10" x14ac:dyDescent="0.25">
      <c r="A359" s="394" t="str">
        <f>Лист1!B134</f>
        <v>Пакет</v>
      </c>
      <c r="B359" s="278" t="s">
        <v>93</v>
      </c>
      <c r="C359" s="250"/>
      <c r="D359" s="354">
        <f>Лист1!G134*$A$207</f>
        <v>1.0050000000000001</v>
      </c>
      <c r="E359" s="362">
        <f>Лист1!H134</f>
        <v>5</v>
      </c>
      <c r="F359" s="276">
        <f t="shared" si="34"/>
        <v>5.0250000000000004</v>
      </c>
      <c r="H359" s="241"/>
      <c r="I359" s="126"/>
      <c r="J359" s="127"/>
    </row>
    <row r="360" spans="1:10" x14ac:dyDescent="0.25">
      <c r="A360" s="394" t="str">
        <f>Лист1!B135</f>
        <v>Жидкое мыло</v>
      </c>
      <c r="B360" s="278" t="s">
        <v>93</v>
      </c>
      <c r="C360" s="122"/>
      <c r="D360" s="354">
        <f>Лист1!G135*$A$207</f>
        <v>1.675</v>
      </c>
      <c r="E360" s="362">
        <f>Лист1!H135</f>
        <v>260</v>
      </c>
      <c r="F360" s="276">
        <f t="shared" si="34"/>
        <v>435.5</v>
      </c>
      <c r="H360" s="241"/>
      <c r="I360" s="126"/>
      <c r="J360" s="127"/>
    </row>
    <row r="361" spans="1:10" x14ac:dyDescent="0.25">
      <c r="A361" s="394" t="str">
        <f>Лист1!B136</f>
        <v>Стеклоочиститель</v>
      </c>
      <c r="B361" s="278" t="s">
        <v>93</v>
      </c>
      <c r="C361" s="122"/>
      <c r="D361" s="354">
        <f>Лист1!G136*$A$207</f>
        <v>1.0050000000000001</v>
      </c>
      <c r="E361" s="362">
        <f>Лист1!H136</f>
        <v>55</v>
      </c>
      <c r="F361" s="276">
        <f t="shared" si="34"/>
        <v>55.275000000000006</v>
      </c>
      <c r="H361" s="241"/>
      <c r="I361" s="126"/>
      <c r="J361" s="127"/>
    </row>
    <row r="362" spans="1:10" x14ac:dyDescent="0.25">
      <c r="A362" s="394" t="str">
        <f>Лист1!B137</f>
        <v>Блок для записи маленький</v>
      </c>
      <c r="B362" s="278" t="s">
        <v>93</v>
      </c>
      <c r="C362" s="122"/>
      <c r="D362" s="354">
        <f>Лист1!G137*$A$207</f>
        <v>0.67</v>
      </c>
      <c r="E362" s="362">
        <f>Лист1!H137</f>
        <v>70</v>
      </c>
      <c r="F362" s="276">
        <f t="shared" si="34"/>
        <v>46.900000000000006</v>
      </c>
      <c r="H362" s="241"/>
      <c r="I362" s="126"/>
      <c r="J362" s="127"/>
    </row>
    <row r="363" spans="1:10" x14ac:dyDescent="0.25">
      <c r="A363" s="394" t="str">
        <f>Лист1!B138</f>
        <v>Блок для записи большой</v>
      </c>
      <c r="B363" s="278" t="s">
        <v>93</v>
      </c>
      <c r="C363" s="122"/>
      <c r="D363" s="354">
        <f>Лист1!G138*$A$207</f>
        <v>1.0050000000000001</v>
      </c>
      <c r="E363" s="362">
        <f>Лист1!H138</f>
        <v>80</v>
      </c>
      <c r="F363" s="276">
        <f t="shared" si="34"/>
        <v>80.400000000000006</v>
      </c>
      <c r="H363" s="241"/>
      <c r="I363" s="126"/>
      <c r="J363" s="127"/>
    </row>
    <row r="364" spans="1:10" x14ac:dyDescent="0.25">
      <c r="A364" s="394" t="str">
        <f>Лист1!B139</f>
        <v>Скрепки</v>
      </c>
      <c r="B364" s="278" t="s">
        <v>93</v>
      </c>
      <c r="C364" s="122"/>
      <c r="D364" s="354">
        <f>Лист1!G139*$A$207</f>
        <v>3.35</v>
      </c>
      <c r="E364" s="362">
        <f>Лист1!H139</f>
        <v>60</v>
      </c>
      <c r="F364" s="276">
        <f t="shared" si="34"/>
        <v>201</v>
      </c>
      <c r="H364" s="241"/>
      <c r="I364" s="126"/>
      <c r="J364" s="127"/>
    </row>
    <row r="365" spans="1:10" x14ac:dyDescent="0.25">
      <c r="A365" s="394" t="str">
        <f>Лист1!B140</f>
        <v>Кнопки</v>
      </c>
      <c r="B365" s="278" t="s">
        <v>93</v>
      </c>
      <c r="C365" s="250"/>
      <c r="D365" s="354">
        <f>Лист1!G140*$A$207</f>
        <v>3.35</v>
      </c>
      <c r="E365" s="362">
        <f>Лист1!H140</f>
        <v>30</v>
      </c>
      <c r="F365" s="276">
        <f t="shared" si="34"/>
        <v>100.5</v>
      </c>
      <c r="H365" s="241"/>
      <c r="I365" s="126"/>
      <c r="J365" s="127"/>
    </row>
    <row r="366" spans="1:10" x14ac:dyDescent="0.25">
      <c r="A366" s="394" t="str">
        <f>Лист1!B141</f>
        <v>Кнопки</v>
      </c>
      <c r="B366" s="278" t="s">
        <v>93</v>
      </c>
      <c r="C366" s="250"/>
      <c r="D366" s="354">
        <f>Лист1!G141*$A$207</f>
        <v>1.675</v>
      </c>
      <c r="E366" s="362">
        <f>Лист1!H141</f>
        <v>70</v>
      </c>
      <c r="F366" s="276">
        <f t="shared" si="34"/>
        <v>117.25</v>
      </c>
      <c r="H366" s="241"/>
      <c r="I366" s="126"/>
      <c r="J366" s="127"/>
    </row>
    <row r="367" spans="1:10" x14ac:dyDescent="0.25">
      <c r="A367" s="394" t="str">
        <f>Лист1!B142</f>
        <v>Степлер №10</v>
      </c>
      <c r="B367" s="278" t="s">
        <v>93</v>
      </c>
      <c r="C367" s="250"/>
      <c r="D367" s="354">
        <f>Лист1!G142*$A$207</f>
        <v>0.33500000000000002</v>
      </c>
      <c r="E367" s="362">
        <f>Лист1!H142</f>
        <v>180</v>
      </c>
      <c r="F367" s="276">
        <f t="shared" si="34"/>
        <v>60.300000000000004</v>
      </c>
      <c r="H367" s="241"/>
      <c r="I367" s="126"/>
      <c r="J367" s="127"/>
    </row>
    <row r="368" spans="1:10" x14ac:dyDescent="0.25">
      <c r="A368" s="394" t="str">
        <f>Лист1!B143</f>
        <v>Степлер №24</v>
      </c>
      <c r="B368" s="278" t="s">
        <v>93</v>
      </c>
      <c r="C368" s="250"/>
      <c r="D368" s="354">
        <f>Лист1!G143*$A$207</f>
        <v>0.33500000000000002</v>
      </c>
      <c r="E368" s="362">
        <f>Лист1!H143</f>
        <v>340</v>
      </c>
      <c r="F368" s="276">
        <f t="shared" si="34"/>
        <v>113.9</v>
      </c>
      <c r="H368" s="241"/>
      <c r="I368" s="126"/>
      <c r="J368" s="127"/>
    </row>
    <row r="369" spans="1:10" x14ac:dyDescent="0.25">
      <c r="A369" s="394" t="str">
        <f>Лист1!B144</f>
        <v>Степлер №21</v>
      </c>
      <c r="B369" s="278" t="s">
        <v>93</v>
      </c>
      <c r="C369" s="250"/>
      <c r="D369" s="354">
        <f>Лист1!G144*$A$207</f>
        <v>1.0050000000000001</v>
      </c>
      <c r="E369" s="362">
        <f>Лист1!H144</f>
        <v>210</v>
      </c>
      <c r="F369" s="276">
        <f t="shared" si="34"/>
        <v>211.05</v>
      </c>
      <c r="H369" s="241"/>
      <c r="I369" s="126"/>
      <c r="J369" s="127"/>
    </row>
    <row r="370" spans="1:10" x14ac:dyDescent="0.25">
      <c r="A370" s="394" t="str">
        <f>Лист1!B145</f>
        <v>Скобы для степлера (большие)</v>
      </c>
      <c r="B370" s="278" t="s">
        <v>93</v>
      </c>
      <c r="C370" s="250"/>
      <c r="D370" s="354">
        <f>Лист1!G145*$A$207</f>
        <v>6.7</v>
      </c>
      <c r="E370" s="362">
        <f>Лист1!H145</f>
        <v>20</v>
      </c>
      <c r="F370" s="276">
        <f t="shared" si="34"/>
        <v>134</v>
      </c>
      <c r="H370" s="241"/>
      <c r="I370" s="126"/>
      <c r="J370" s="127"/>
    </row>
    <row r="371" spans="1:10" x14ac:dyDescent="0.25">
      <c r="A371" s="394" t="str">
        <f>Лист1!B146</f>
        <v>Скобы для степлера (маленькие)</v>
      </c>
      <c r="B371" s="278" t="s">
        <v>93</v>
      </c>
      <c r="C371" s="250"/>
      <c r="D371" s="354">
        <f>Лист1!G146*$A$207</f>
        <v>3.35</v>
      </c>
      <c r="E371" s="362">
        <f>Лист1!H146</f>
        <v>50</v>
      </c>
      <c r="F371" s="276">
        <f t="shared" si="34"/>
        <v>167.5</v>
      </c>
      <c r="H371" s="241"/>
      <c r="I371" s="126"/>
      <c r="J371" s="127"/>
    </row>
    <row r="372" spans="1:10" x14ac:dyDescent="0.25">
      <c r="A372" s="394" t="str">
        <f>Лист1!B147</f>
        <v>Ножницы маленькие</v>
      </c>
      <c r="B372" s="278" t="s">
        <v>93</v>
      </c>
      <c r="C372" s="250"/>
      <c r="D372" s="354">
        <f>Лист1!G147*$A$207</f>
        <v>1.0050000000000001</v>
      </c>
      <c r="E372" s="362">
        <f>Лист1!H147</f>
        <v>110</v>
      </c>
      <c r="F372" s="276">
        <f t="shared" si="34"/>
        <v>110.55000000000001</v>
      </c>
      <c r="H372" s="241"/>
      <c r="I372" s="126"/>
      <c r="J372" s="127"/>
    </row>
    <row r="373" spans="1:10" x14ac:dyDescent="0.25">
      <c r="A373" s="394" t="str">
        <f>Лист1!B148</f>
        <v xml:space="preserve">Ножницы большие </v>
      </c>
      <c r="B373" s="278" t="s">
        <v>93</v>
      </c>
      <c r="C373" s="250"/>
      <c r="D373" s="354">
        <f>Лист1!G148*$A$207</f>
        <v>0.33500000000000002</v>
      </c>
      <c r="E373" s="362">
        <f>Лист1!H148</f>
        <v>140</v>
      </c>
      <c r="F373" s="276">
        <f t="shared" si="34"/>
        <v>46.900000000000006</v>
      </c>
      <c r="H373" s="241"/>
      <c r="I373" s="126"/>
      <c r="J373" s="127"/>
    </row>
    <row r="374" spans="1:10" x14ac:dyDescent="0.25">
      <c r="A374" s="394" t="str">
        <f>Лист1!B149</f>
        <v>Ножницы</v>
      </c>
      <c r="B374" s="278" t="s">
        <v>93</v>
      </c>
      <c r="C374" s="250"/>
      <c r="D374" s="354">
        <f>Лист1!G149*$A$207</f>
        <v>3.35</v>
      </c>
      <c r="E374" s="362">
        <f>Лист1!H149</f>
        <v>40</v>
      </c>
      <c r="F374" s="276">
        <f t="shared" si="34"/>
        <v>134</v>
      </c>
      <c r="H374" s="241"/>
      <c r="I374" s="126"/>
      <c r="J374" s="127"/>
    </row>
    <row r="375" spans="1:10" x14ac:dyDescent="0.25">
      <c r="A375" s="394" t="str">
        <f>Лист1!B150</f>
        <v>Линейка 40 см</v>
      </c>
      <c r="B375" s="278" t="s">
        <v>93</v>
      </c>
      <c r="C375" s="122"/>
      <c r="D375" s="354">
        <f>Лист1!G150*$A$207</f>
        <v>0.67</v>
      </c>
      <c r="E375" s="362">
        <f>Лист1!H150</f>
        <v>70</v>
      </c>
      <c r="F375" s="276">
        <f t="shared" si="34"/>
        <v>46.900000000000006</v>
      </c>
      <c r="H375" s="241"/>
      <c r="I375" s="126"/>
      <c r="J375" s="127"/>
    </row>
    <row r="376" spans="1:10" x14ac:dyDescent="0.25">
      <c r="A376" s="394" t="str">
        <f>Лист1!B151</f>
        <v>Линейка 30 см</v>
      </c>
      <c r="B376" s="278" t="s">
        <v>93</v>
      </c>
      <c r="C376" s="122"/>
      <c r="D376" s="354">
        <f>Лист1!G151*$A$207</f>
        <v>1.675</v>
      </c>
      <c r="E376" s="362">
        <f>Лист1!H151</f>
        <v>30</v>
      </c>
      <c r="F376" s="276">
        <f t="shared" si="34"/>
        <v>50.25</v>
      </c>
      <c r="H376" s="241"/>
      <c r="I376" s="126"/>
      <c r="J376" s="127"/>
    </row>
    <row r="377" spans="1:10" x14ac:dyDescent="0.25">
      <c r="A377" s="394" t="str">
        <f>Лист1!B152</f>
        <v>Линейка 20 см</v>
      </c>
      <c r="B377" s="278" t="s">
        <v>93</v>
      </c>
      <c r="C377" s="122"/>
      <c r="D377" s="354">
        <f>Лист1!G152*$A$207</f>
        <v>1.34</v>
      </c>
      <c r="E377" s="362">
        <f>Лист1!H152</f>
        <v>20</v>
      </c>
      <c r="F377" s="276">
        <f t="shared" si="34"/>
        <v>26.8</v>
      </c>
      <c r="H377" s="241"/>
      <c r="I377" s="126"/>
      <c r="J377" s="127"/>
    </row>
    <row r="378" spans="1:10" x14ac:dyDescent="0.25">
      <c r="A378" s="394" t="str">
        <f>Лист1!B153</f>
        <v>Маркер черный толстый</v>
      </c>
      <c r="B378" s="278" t="s">
        <v>93</v>
      </c>
      <c r="C378" s="122"/>
      <c r="D378" s="354">
        <f>Лист1!G153*$A$207</f>
        <v>0.33500000000000002</v>
      </c>
      <c r="E378" s="362">
        <f>Лист1!H153</f>
        <v>80</v>
      </c>
      <c r="F378" s="276">
        <f t="shared" si="34"/>
        <v>26.8</v>
      </c>
      <c r="H378" s="241"/>
      <c r="I378" s="126"/>
      <c r="J378" s="127"/>
    </row>
    <row r="379" spans="1:10" x14ac:dyDescent="0.25">
      <c r="A379" s="394" t="str">
        <f>Лист1!B154</f>
        <v>Маркер черный тонкий</v>
      </c>
      <c r="B379" s="278" t="s">
        <v>93</v>
      </c>
      <c r="C379" s="250"/>
      <c r="D379" s="354">
        <f>Лист1!G154*$A$207</f>
        <v>2.68</v>
      </c>
      <c r="E379" s="362">
        <f>Лист1!H154</f>
        <v>35</v>
      </c>
      <c r="F379" s="276">
        <f t="shared" si="34"/>
        <v>93.800000000000011</v>
      </c>
      <c r="H379" s="241"/>
      <c r="I379" s="126"/>
      <c r="J379" s="127"/>
    </row>
    <row r="380" spans="1:10" x14ac:dyDescent="0.25">
      <c r="A380" s="394" t="str">
        <f>Лист1!B155</f>
        <v>Маркер (набор)</v>
      </c>
      <c r="B380" s="278" t="s">
        <v>93</v>
      </c>
      <c r="C380" s="250"/>
      <c r="D380" s="354">
        <f>Лист1!G155*$A$207</f>
        <v>0.33500000000000002</v>
      </c>
      <c r="E380" s="362">
        <f>Лист1!H155</f>
        <v>290</v>
      </c>
      <c r="F380" s="276">
        <f t="shared" si="34"/>
        <v>97.15</v>
      </c>
      <c r="H380" s="241"/>
      <c r="I380" s="126"/>
      <c r="J380" s="127"/>
    </row>
    <row r="381" spans="1:10" x14ac:dyDescent="0.25">
      <c r="A381" s="394" t="str">
        <f>Лист1!B156</f>
        <v>Маркер красный</v>
      </c>
      <c r="B381" s="278" t="s">
        <v>93</v>
      </c>
      <c r="C381" s="250"/>
      <c r="D381" s="354">
        <f>Лист1!G156*$A$207</f>
        <v>1.34</v>
      </c>
      <c r="E381" s="362">
        <f>Лист1!H156</f>
        <v>50</v>
      </c>
      <c r="F381" s="276">
        <f t="shared" si="34"/>
        <v>67</v>
      </c>
      <c r="H381" s="241"/>
      <c r="I381" s="126"/>
      <c r="J381" s="127"/>
    </row>
    <row r="382" spans="1:10" x14ac:dyDescent="0.25">
      <c r="A382" s="394" t="str">
        <f>Лист1!B157</f>
        <v>Маркер (синий)</v>
      </c>
      <c r="B382" s="278" t="s">
        <v>93</v>
      </c>
      <c r="C382" s="250"/>
      <c r="D382" s="354">
        <f>Лист1!G157*$A$207</f>
        <v>0.67</v>
      </c>
      <c r="E382" s="362">
        <f>Лист1!H157</f>
        <v>120</v>
      </c>
      <c r="F382" s="276">
        <f t="shared" si="34"/>
        <v>80.400000000000006</v>
      </c>
      <c r="H382" s="241"/>
      <c r="I382" s="126"/>
      <c r="J382" s="127"/>
    </row>
    <row r="383" spans="1:10" x14ac:dyDescent="0.25">
      <c r="A383" s="394" t="str">
        <f>Лист1!B158</f>
        <v>Клей маленький</v>
      </c>
      <c r="B383" s="278" t="s">
        <v>93</v>
      </c>
      <c r="C383" s="250"/>
      <c r="D383" s="354">
        <f>Лист1!G158*$A$207</f>
        <v>3.0150000000000001</v>
      </c>
      <c r="E383" s="362">
        <f>Лист1!H158</f>
        <v>40</v>
      </c>
      <c r="F383" s="276">
        <f t="shared" si="34"/>
        <v>120.60000000000001</v>
      </c>
      <c r="H383" s="241"/>
      <c r="I383" s="126"/>
      <c r="J383" s="127"/>
    </row>
    <row r="384" spans="1:10" x14ac:dyDescent="0.25">
      <c r="A384" s="394" t="str">
        <f>Лист1!B159</f>
        <v>Клей большой</v>
      </c>
      <c r="B384" s="278" t="s">
        <v>93</v>
      </c>
      <c r="C384" s="250"/>
      <c r="D384" s="354">
        <f>Лист1!G159*$A$207</f>
        <v>1.675</v>
      </c>
      <c r="E384" s="362">
        <f>Лист1!H159</f>
        <v>60</v>
      </c>
      <c r="F384" s="276">
        <f t="shared" si="34"/>
        <v>100.5</v>
      </c>
      <c r="H384" s="241"/>
      <c r="I384" s="126"/>
      <c r="J384" s="127"/>
    </row>
    <row r="385" spans="1:10" x14ac:dyDescent="0.25">
      <c r="A385" s="394" t="str">
        <f>Лист1!B160</f>
        <v>Резак для резки бумаги</v>
      </c>
      <c r="B385" s="278" t="s">
        <v>93</v>
      </c>
      <c r="C385" s="250"/>
      <c r="D385" s="354">
        <f>Лист1!G160*$A$207</f>
        <v>0.33500000000000002</v>
      </c>
      <c r="E385" s="362">
        <f>Лист1!H160</f>
        <v>100</v>
      </c>
      <c r="F385" s="276">
        <f t="shared" si="34"/>
        <v>33.5</v>
      </c>
      <c r="H385" s="241"/>
      <c r="I385" s="126"/>
      <c r="J385" s="127"/>
    </row>
    <row r="386" spans="1:10" x14ac:dyDescent="0.25">
      <c r="A386" s="394" t="str">
        <f>Лист1!B161</f>
        <v>Краска</v>
      </c>
      <c r="B386" s="278" t="s">
        <v>93</v>
      </c>
      <c r="C386" s="250"/>
      <c r="D386" s="354">
        <f>Лист1!G161*$A$207</f>
        <v>0.33500000000000002</v>
      </c>
      <c r="E386" s="362">
        <f>Лист1!H161</f>
        <v>140</v>
      </c>
      <c r="F386" s="276">
        <f t="shared" si="34"/>
        <v>46.900000000000006</v>
      </c>
      <c r="H386" s="241"/>
      <c r="I386" s="126"/>
      <c r="J386" s="127"/>
    </row>
    <row r="387" spans="1:10" x14ac:dyDescent="0.25">
      <c r="A387" s="394" t="str">
        <f>Лист1!B162</f>
        <v>Зажим маленький</v>
      </c>
      <c r="B387" s="278" t="s">
        <v>93</v>
      </c>
      <c r="C387" s="250"/>
      <c r="D387" s="354">
        <f>Лист1!G162*$A$207</f>
        <v>3.35</v>
      </c>
      <c r="E387" s="362">
        <f>Лист1!H162</f>
        <v>15</v>
      </c>
      <c r="F387" s="276">
        <f t="shared" si="34"/>
        <v>50.25</v>
      </c>
      <c r="H387" s="241"/>
      <c r="I387" s="126"/>
      <c r="J387" s="127"/>
    </row>
    <row r="388" spans="1:10" x14ac:dyDescent="0.25">
      <c r="A388" s="394" t="str">
        <f>Лист1!B163</f>
        <v>Зажим большой</v>
      </c>
      <c r="B388" s="278" t="s">
        <v>93</v>
      </c>
      <c r="C388" s="250"/>
      <c r="D388" s="354">
        <f>Лист1!G163*$A$207</f>
        <v>3.35</v>
      </c>
      <c r="E388" s="362">
        <f>Лист1!H163</f>
        <v>20</v>
      </c>
      <c r="F388" s="276">
        <f t="shared" si="34"/>
        <v>67</v>
      </c>
      <c r="H388" s="241"/>
      <c r="I388" s="126"/>
      <c r="J388" s="127"/>
    </row>
    <row r="389" spans="1:10" x14ac:dyDescent="0.25">
      <c r="A389" s="394" t="str">
        <f>Лист1!B164</f>
        <v>Корректор ручка</v>
      </c>
      <c r="B389" s="278" t="s">
        <v>93</v>
      </c>
      <c r="C389" s="122"/>
      <c r="D389" s="354">
        <f>Лист1!G164*$A$207</f>
        <v>0.67</v>
      </c>
      <c r="E389" s="362">
        <f>Лист1!H164</f>
        <v>80</v>
      </c>
      <c r="F389" s="276">
        <f t="shared" si="34"/>
        <v>53.6</v>
      </c>
      <c r="H389" s="241"/>
      <c r="I389" s="126"/>
      <c r="J389" s="127"/>
    </row>
    <row r="390" spans="1:10" x14ac:dyDescent="0.25">
      <c r="A390" s="394" t="str">
        <f>Лист1!B165</f>
        <v>Корректор с кистью</v>
      </c>
      <c r="B390" s="278" t="s">
        <v>93</v>
      </c>
      <c r="C390" s="250"/>
      <c r="D390" s="354">
        <f>Лист1!G165*$A$207</f>
        <v>0.67</v>
      </c>
      <c r="E390" s="362">
        <f>Лист1!H165</f>
        <v>50</v>
      </c>
      <c r="F390" s="276">
        <f t="shared" si="34"/>
        <v>33.5</v>
      </c>
      <c r="H390" s="241"/>
      <c r="I390" s="126"/>
      <c r="J390" s="127"/>
    </row>
    <row r="391" spans="1:10" x14ac:dyDescent="0.25">
      <c r="A391" s="394" t="str">
        <f>Лист1!B166</f>
        <v>Скотч</v>
      </c>
      <c r="B391" s="278" t="s">
        <v>93</v>
      </c>
      <c r="C391" s="235"/>
      <c r="D391" s="354">
        <f>Лист1!G166*$A$207</f>
        <v>1.675</v>
      </c>
      <c r="E391" s="362">
        <f>Лист1!H166</f>
        <v>15</v>
      </c>
      <c r="F391" s="276">
        <f t="shared" si="34"/>
        <v>25.125</v>
      </c>
      <c r="H391" s="347"/>
      <c r="I391" s="126"/>
      <c r="J391" s="127"/>
    </row>
    <row r="392" spans="1:10" x14ac:dyDescent="0.25">
      <c r="A392" s="394" t="str">
        <f>Лист1!B167</f>
        <v>Нож канцелярский</v>
      </c>
      <c r="B392" s="278" t="s">
        <v>93</v>
      </c>
      <c r="C392" s="235"/>
      <c r="D392" s="354">
        <f>Лист1!G167*$A$207</f>
        <v>4.0200000000000005</v>
      </c>
      <c r="E392" s="362">
        <f>Лист1!H167</f>
        <v>50</v>
      </c>
      <c r="F392" s="276">
        <f t="shared" si="34"/>
        <v>201.00000000000003</v>
      </c>
      <c r="H392" s="347"/>
      <c r="I392" s="126"/>
      <c r="J392" s="127"/>
    </row>
    <row r="393" spans="1:10" x14ac:dyDescent="0.25">
      <c r="A393" s="394" t="str">
        <f>Лист1!B168</f>
        <v>Нитки для сшивания (толстые)</v>
      </c>
      <c r="B393" s="278" t="s">
        <v>93</v>
      </c>
      <c r="C393" s="235"/>
      <c r="D393" s="354">
        <f>Лист1!G168*$A$207</f>
        <v>0.33500000000000002</v>
      </c>
      <c r="E393" s="362">
        <f>Лист1!H168</f>
        <v>210</v>
      </c>
      <c r="F393" s="276">
        <f t="shared" si="34"/>
        <v>70.350000000000009</v>
      </c>
      <c r="H393" s="347"/>
      <c r="I393" s="126"/>
      <c r="J393" s="127"/>
    </row>
    <row r="394" spans="1:10" x14ac:dyDescent="0.25">
      <c r="A394" s="394" t="str">
        <f>Лист1!B169</f>
        <v>Шило</v>
      </c>
      <c r="B394" s="278" t="s">
        <v>93</v>
      </c>
      <c r="C394" s="235"/>
      <c r="D394" s="354">
        <f>Лист1!G169*$A$207</f>
        <v>0.33500000000000002</v>
      </c>
      <c r="E394" s="362">
        <f>Лист1!H169</f>
        <v>60</v>
      </c>
      <c r="F394" s="276">
        <f t="shared" si="34"/>
        <v>20.100000000000001</v>
      </c>
      <c r="H394" s="347"/>
      <c r="I394" s="126"/>
      <c r="J394" s="127"/>
    </row>
    <row r="395" spans="1:10" x14ac:dyDescent="0.25">
      <c r="A395" s="394" t="str">
        <f>Лист1!B170</f>
        <v>Дырокол на 10 листов металл.</v>
      </c>
      <c r="B395" s="278" t="s">
        <v>93</v>
      </c>
      <c r="C395" s="235"/>
      <c r="D395" s="354">
        <f>Лист1!G170*$A$207</f>
        <v>1.34</v>
      </c>
      <c r="E395" s="362">
        <f>Лист1!H170</f>
        <v>190</v>
      </c>
      <c r="F395" s="276">
        <f t="shared" si="34"/>
        <v>254.60000000000002</v>
      </c>
      <c r="H395" s="347"/>
      <c r="I395" s="126"/>
      <c r="J395" s="127"/>
    </row>
    <row r="396" spans="1:10" x14ac:dyDescent="0.25">
      <c r="A396" s="394" t="str">
        <f>Лист1!B171</f>
        <v>Дырокол на 70 листов черный</v>
      </c>
      <c r="B396" s="278" t="s">
        <v>93</v>
      </c>
      <c r="C396" s="235"/>
      <c r="D396" s="354">
        <f>Лист1!G171*$A$207</f>
        <v>0.33500000000000002</v>
      </c>
      <c r="E396" s="362">
        <f>Лист1!H171</f>
        <v>320</v>
      </c>
      <c r="F396" s="276">
        <f t="shared" si="34"/>
        <v>107.2</v>
      </c>
      <c r="H396" s="347"/>
      <c r="I396" s="126"/>
      <c r="J396" s="127"/>
    </row>
    <row r="397" spans="1:10" x14ac:dyDescent="0.25">
      <c r="A397" s="394" t="str">
        <f>Лист1!B172</f>
        <v>Карандаш простой</v>
      </c>
      <c r="B397" s="278" t="s">
        <v>93</v>
      </c>
      <c r="C397" s="235"/>
      <c r="D397" s="354">
        <f>Лист1!G172*$A$207</f>
        <v>3.35</v>
      </c>
      <c r="E397" s="362">
        <f>Лист1!H172</f>
        <v>20</v>
      </c>
      <c r="F397" s="276">
        <f t="shared" si="34"/>
        <v>67</v>
      </c>
      <c r="H397" s="347"/>
      <c r="I397" s="126"/>
      <c r="J397" s="127"/>
    </row>
    <row r="398" spans="1:10" x14ac:dyDescent="0.25">
      <c r="A398" s="394" t="str">
        <f>Лист1!B173</f>
        <v>Ручка</v>
      </c>
      <c r="B398" s="278" t="s">
        <v>93</v>
      </c>
      <c r="C398" s="235"/>
      <c r="D398" s="354">
        <f>Лист1!G173*$A$207</f>
        <v>0.33500000000000002</v>
      </c>
      <c r="E398" s="362">
        <f>Лист1!H173</f>
        <v>20</v>
      </c>
      <c r="F398" s="276">
        <f t="shared" si="34"/>
        <v>6.7</v>
      </c>
      <c r="H398" s="347"/>
      <c r="I398" s="126"/>
      <c r="J398" s="127"/>
    </row>
    <row r="399" spans="1:10" x14ac:dyDescent="0.25">
      <c r="A399" s="394" t="str">
        <f>Лист1!B174</f>
        <v>Полотенце</v>
      </c>
      <c r="B399" s="278" t="s">
        <v>93</v>
      </c>
      <c r="C399" s="235"/>
      <c r="D399" s="354">
        <f>Лист1!G174*$A$207</f>
        <v>1.675</v>
      </c>
      <c r="E399" s="362">
        <f>Лист1!H174</f>
        <v>110</v>
      </c>
      <c r="F399" s="276">
        <f t="shared" si="34"/>
        <v>184.25</v>
      </c>
      <c r="H399" s="347"/>
      <c r="I399" s="126"/>
      <c r="J399" s="127"/>
    </row>
    <row r="400" spans="1:10" x14ac:dyDescent="0.25">
      <c r="A400" s="394" t="str">
        <f>Лист1!B175</f>
        <v>Комплект веник-совок</v>
      </c>
      <c r="B400" s="278" t="s">
        <v>93</v>
      </c>
      <c r="C400" s="235"/>
      <c r="D400" s="354">
        <f>Лист1!G175*$A$207</f>
        <v>1.0050000000000001</v>
      </c>
      <c r="E400" s="362">
        <f>Лист1!H175</f>
        <v>450</v>
      </c>
      <c r="F400" s="276">
        <f t="shared" si="34"/>
        <v>452.25000000000006</v>
      </c>
      <c r="H400" s="347"/>
      <c r="I400" s="126"/>
      <c r="J400" s="127"/>
    </row>
    <row r="401" spans="1:10" x14ac:dyDescent="0.25">
      <c r="A401" s="394" t="str">
        <f>Лист1!B176</f>
        <v>Насадки на швабру</v>
      </c>
      <c r="B401" s="278" t="s">
        <v>93</v>
      </c>
      <c r="C401" s="235"/>
      <c r="D401" s="354">
        <f>Лист1!G176*$A$207</f>
        <v>1.34</v>
      </c>
      <c r="E401" s="362">
        <f>Лист1!H176</f>
        <v>100</v>
      </c>
      <c r="F401" s="276">
        <f t="shared" si="34"/>
        <v>134</v>
      </c>
      <c r="H401" s="347"/>
      <c r="I401" s="126"/>
      <c r="J401" s="127"/>
    </row>
    <row r="402" spans="1:10" x14ac:dyDescent="0.25">
      <c r="A402" s="394" t="str">
        <f>Лист1!B177</f>
        <v>Бумага Svetocopy</v>
      </c>
      <c r="B402" s="278" t="s">
        <v>93</v>
      </c>
      <c r="C402" s="235"/>
      <c r="D402" s="354">
        <f>Лист1!G177*$A$207</f>
        <v>10.050000000000001</v>
      </c>
      <c r="E402" s="362">
        <f>Лист1!H177</f>
        <v>310</v>
      </c>
      <c r="F402" s="276">
        <f t="shared" si="34"/>
        <v>3115.5</v>
      </c>
      <c r="H402" s="347"/>
      <c r="I402" s="126"/>
      <c r="J402" s="127"/>
    </row>
    <row r="403" spans="1:10" x14ac:dyDescent="0.25">
      <c r="A403" s="394" t="str">
        <f>Лист1!B178</f>
        <v>Папка накопитель</v>
      </c>
      <c r="B403" s="278" t="s">
        <v>93</v>
      </c>
      <c r="C403" s="235"/>
      <c r="D403" s="354">
        <f>Лист1!G178*$A$207</f>
        <v>0.33500000000000002</v>
      </c>
      <c r="E403" s="362">
        <f>Лист1!H178</f>
        <v>45</v>
      </c>
      <c r="F403" s="276">
        <f t="shared" si="34"/>
        <v>15.075000000000001</v>
      </c>
      <c r="H403" s="347"/>
      <c r="I403" s="126"/>
      <c r="J403" s="127"/>
    </row>
    <row r="404" spans="1:10" x14ac:dyDescent="0.25">
      <c r="A404" s="394" t="str">
        <f>Лист1!B179</f>
        <v>Набор пил колец</v>
      </c>
      <c r="B404" s="278" t="s">
        <v>93</v>
      </c>
      <c r="C404" s="235"/>
      <c r="D404" s="354">
        <f>Лист1!G179*$A$207</f>
        <v>0.33500000000000002</v>
      </c>
      <c r="E404" s="362">
        <f>Лист1!H179</f>
        <v>595</v>
      </c>
      <c r="F404" s="276">
        <f t="shared" si="34"/>
        <v>199.32500000000002</v>
      </c>
      <c r="H404" s="347"/>
      <c r="I404" s="126"/>
      <c r="J404" s="127"/>
    </row>
    <row r="405" spans="1:10" x14ac:dyDescent="0.25">
      <c r="A405" s="394" t="str">
        <f>Лист1!B180</f>
        <v>Клей</v>
      </c>
      <c r="B405" s="278" t="s">
        <v>93</v>
      </c>
      <c r="C405" s="235"/>
      <c r="D405" s="354">
        <f>Лист1!G180*$A$207</f>
        <v>0.33500000000000002</v>
      </c>
      <c r="E405" s="362">
        <f>Лист1!H180</f>
        <v>175</v>
      </c>
      <c r="F405" s="276">
        <f t="shared" si="34"/>
        <v>58.625</v>
      </c>
      <c r="H405" s="347"/>
      <c r="I405" s="126"/>
      <c r="J405" s="127"/>
    </row>
    <row r="406" spans="1:10" x14ac:dyDescent="0.25">
      <c r="A406" s="394" t="str">
        <f>Лист1!B181</f>
        <v>Крышка горловины</v>
      </c>
      <c r="B406" s="278" t="s">
        <v>93</v>
      </c>
      <c r="C406" s="235"/>
      <c r="D406" s="354">
        <f>Лист1!G181*$A$207</f>
        <v>0.67</v>
      </c>
      <c r="E406" s="362">
        <f>Лист1!H181</f>
        <v>80</v>
      </c>
      <c r="F406" s="276">
        <f t="shared" si="34"/>
        <v>53.6</v>
      </c>
      <c r="H406" s="347"/>
      <c r="I406" s="126"/>
      <c r="J406" s="127"/>
    </row>
    <row r="407" spans="1:10" x14ac:dyDescent="0.25">
      <c r="A407" s="394" t="str">
        <f>Лист1!B182</f>
        <v>папка скоросшиватель</v>
      </c>
      <c r="B407" s="278" t="s">
        <v>93</v>
      </c>
      <c r="C407" s="235"/>
      <c r="D407" s="354">
        <f>Лист1!G182*$A$207</f>
        <v>3.35</v>
      </c>
      <c r="E407" s="362">
        <f>Лист1!H182</f>
        <v>15</v>
      </c>
      <c r="F407" s="276">
        <f t="shared" si="34"/>
        <v>50.25</v>
      </c>
      <c r="H407" s="347"/>
      <c r="I407" s="126"/>
      <c r="J407" s="127"/>
    </row>
    <row r="408" spans="1:10" x14ac:dyDescent="0.25">
      <c r="A408" s="394" t="str">
        <f>Лист1!B183</f>
        <v>Прессвол РОР-АР 3,5*2,3м</v>
      </c>
      <c r="B408" s="278" t="s">
        <v>93</v>
      </c>
      <c r="C408" s="235"/>
      <c r="D408" s="368">
        <f>Лист1!G183*$A$207</f>
        <v>0.33500000000000002</v>
      </c>
      <c r="E408" s="383">
        <f>Лист1!H183</f>
        <v>25000</v>
      </c>
      <c r="F408" s="276">
        <f t="shared" si="34"/>
        <v>8375</v>
      </c>
      <c r="H408" s="347"/>
      <c r="I408" s="126"/>
      <c r="J408" s="127"/>
    </row>
    <row r="409" spans="1:10" x14ac:dyDescent="0.25">
      <c r="A409" s="394" t="str">
        <f>Лист1!B184</f>
        <v>плинтус кабель-канал</v>
      </c>
      <c r="B409" s="278" t="s">
        <v>93</v>
      </c>
      <c r="C409" s="235"/>
      <c r="D409" s="368">
        <f>Лист1!G184*$A$207</f>
        <v>1.0050000000000001</v>
      </c>
      <c r="E409" s="383">
        <f>Лист1!H184</f>
        <v>70</v>
      </c>
      <c r="F409" s="276">
        <f t="shared" si="34"/>
        <v>70.350000000000009</v>
      </c>
      <c r="H409" s="347"/>
      <c r="I409" s="126"/>
      <c r="J409" s="127"/>
    </row>
    <row r="410" spans="1:10" x14ac:dyDescent="0.25">
      <c r="A410" s="394" t="str">
        <f>Лист1!B185</f>
        <v>валик малярный L</v>
      </c>
      <c r="B410" s="278" t="s">
        <v>93</v>
      </c>
      <c r="C410" s="235"/>
      <c r="D410" s="368">
        <f>Лист1!G185*$A$207</f>
        <v>0.67</v>
      </c>
      <c r="E410" s="383">
        <f>Лист1!H185</f>
        <v>134</v>
      </c>
      <c r="F410" s="276">
        <f t="shared" si="34"/>
        <v>89.78</v>
      </c>
      <c r="H410" s="347"/>
      <c r="I410" s="126"/>
      <c r="J410" s="127"/>
    </row>
    <row r="411" spans="1:10" x14ac:dyDescent="0.25">
      <c r="A411" s="394" t="str">
        <f>Лист1!B186</f>
        <v>валик малярный профи</v>
      </c>
      <c r="B411" s="278" t="s">
        <v>93</v>
      </c>
      <c r="C411" s="235"/>
      <c r="D411" s="368">
        <f>Лист1!G186*$A$207</f>
        <v>0.67</v>
      </c>
      <c r="E411" s="383">
        <f>Лист1!H186</f>
        <v>142</v>
      </c>
      <c r="F411" s="276">
        <f t="shared" si="34"/>
        <v>95.14</v>
      </c>
      <c r="H411" s="347"/>
      <c r="I411" s="126"/>
      <c r="J411" s="127"/>
    </row>
    <row r="412" spans="1:10" x14ac:dyDescent="0.25">
      <c r="A412" s="394" t="str">
        <f>Лист1!B187</f>
        <v>кабель-канал</v>
      </c>
      <c r="B412" s="278" t="s">
        <v>93</v>
      </c>
      <c r="C412" s="235"/>
      <c r="D412" s="368">
        <f>Лист1!G187*$A$207</f>
        <v>1.675</v>
      </c>
      <c r="E412" s="383">
        <f>Лист1!H187</f>
        <v>62</v>
      </c>
      <c r="F412" s="276">
        <f t="shared" si="34"/>
        <v>103.85000000000001</v>
      </c>
      <c r="H412" s="347"/>
      <c r="I412" s="126"/>
      <c r="J412" s="127"/>
    </row>
    <row r="413" spans="1:10" x14ac:dyDescent="0.25">
      <c r="A413" s="394" t="str">
        <f>Лист1!B188</f>
        <v>ванночка малярная</v>
      </c>
      <c r="B413" s="278" t="s">
        <v>93</v>
      </c>
      <c r="C413" s="235"/>
      <c r="D413" s="368">
        <f>Лист1!G188*$A$207</f>
        <v>0.67</v>
      </c>
      <c r="E413" s="383">
        <f>Лист1!H188</f>
        <v>50</v>
      </c>
      <c r="F413" s="276">
        <f t="shared" si="34"/>
        <v>33.5</v>
      </c>
      <c r="H413" s="347"/>
      <c r="I413" s="126"/>
      <c r="J413" s="127"/>
    </row>
    <row r="414" spans="1:10" x14ac:dyDescent="0.25">
      <c r="A414" s="394" t="str">
        <f>Лист1!B189</f>
        <v>шайба крановая</v>
      </c>
      <c r="B414" s="278" t="s">
        <v>93</v>
      </c>
      <c r="C414" s="235"/>
      <c r="D414" s="368">
        <f>Лист1!G189*$A$207</f>
        <v>6.7</v>
      </c>
      <c r="E414" s="383">
        <f>Лист1!H189</f>
        <v>0.3</v>
      </c>
      <c r="F414" s="276">
        <f t="shared" si="34"/>
        <v>2.0099999999999998</v>
      </c>
      <c r="H414" s="347"/>
      <c r="I414" s="126"/>
      <c r="J414" s="127"/>
    </row>
    <row r="415" spans="1:10" x14ac:dyDescent="0.25">
      <c r="A415" s="394" t="str">
        <f>Лист1!B190</f>
        <v>эмаль аэрозоль</v>
      </c>
      <c r="B415" s="278" t="s">
        <v>93</v>
      </c>
      <c r="C415" s="235"/>
      <c r="D415" s="368">
        <f>Лист1!G190*$A$207</f>
        <v>0.67</v>
      </c>
      <c r="E415" s="383">
        <f>Лист1!H190</f>
        <v>193</v>
      </c>
      <c r="F415" s="276">
        <f t="shared" si="34"/>
        <v>129.31</v>
      </c>
      <c r="H415" s="347"/>
      <c r="I415" s="126"/>
      <c r="J415" s="127"/>
    </row>
    <row r="416" spans="1:10" x14ac:dyDescent="0.25">
      <c r="A416" s="394" t="str">
        <f>Лист1!B191</f>
        <v>Папка-регистратор</v>
      </c>
      <c r="B416" s="278" t="s">
        <v>93</v>
      </c>
      <c r="C416" s="235"/>
      <c r="D416" s="368">
        <f>Лист1!G191*$A$207</f>
        <v>7.37</v>
      </c>
      <c r="E416" s="383">
        <f>Лист1!H191</f>
        <v>190</v>
      </c>
      <c r="F416" s="276">
        <f t="shared" si="34"/>
        <v>1400.3</v>
      </c>
      <c r="H416" s="347"/>
      <c r="I416" s="126"/>
      <c r="J416" s="127"/>
    </row>
    <row r="417" spans="1:10" x14ac:dyDescent="0.25">
      <c r="A417" s="394" t="str">
        <f>Лист1!B192</f>
        <v>Блок питания</v>
      </c>
      <c r="B417" s="278" t="s">
        <v>93</v>
      </c>
      <c r="C417" s="235"/>
      <c r="D417" s="368">
        <f>Лист1!G192*$A$207</f>
        <v>0.33500000000000002</v>
      </c>
      <c r="E417" s="383">
        <f>Лист1!H192</f>
        <v>8330</v>
      </c>
      <c r="F417" s="276">
        <f t="shared" si="34"/>
        <v>2790.55</v>
      </c>
      <c r="H417" s="347"/>
      <c r="I417" s="126"/>
      <c r="J417" s="127"/>
    </row>
    <row r="418" spans="1:10" x14ac:dyDescent="0.25">
      <c r="A418" s="394" t="str">
        <f>Лист1!B193</f>
        <v>Кабель</v>
      </c>
      <c r="B418" s="278" t="s">
        <v>93</v>
      </c>
      <c r="C418" s="235"/>
      <c r="D418" s="368">
        <f>Лист1!G193*$A$207</f>
        <v>1.0050000000000001</v>
      </c>
      <c r="E418" s="383">
        <f>Лист1!H193</f>
        <v>2570</v>
      </c>
      <c r="F418" s="276">
        <f t="shared" si="34"/>
        <v>2582.8500000000004</v>
      </c>
      <c r="H418" s="347"/>
      <c r="I418" s="126"/>
      <c r="J418" s="127"/>
    </row>
    <row r="419" spans="1:10" x14ac:dyDescent="0.25">
      <c r="A419" s="394" t="str">
        <f>Лист1!B194</f>
        <v>Карта памяти</v>
      </c>
      <c r="B419" s="278" t="s">
        <v>93</v>
      </c>
      <c r="C419" s="235"/>
      <c r="D419" s="368">
        <f>Лист1!G194*$A$207</f>
        <v>0.67</v>
      </c>
      <c r="E419" s="383">
        <f>Лист1!H194</f>
        <v>3700</v>
      </c>
      <c r="F419" s="276">
        <f t="shared" ref="F419:F425" si="35">D419*E419</f>
        <v>2479</v>
      </c>
      <c r="H419" s="347"/>
      <c r="I419" s="126"/>
      <c r="J419" s="127"/>
    </row>
    <row r="420" spans="1:10" x14ac:dyDescent="0.25">
      <c r="A420" s="394" t="str">
        <f>Лист1!B195</f>
        <v>Кабель</v>
      </c>
      <c r="B420" s="278" t="s">
        <v>93</v>
      </c>
      <c r="C420" s="235"/>
      <c r="D420" s="368">
        <f>Лист1!G195*$A$207</f>
        <v>0.33500000000000002</v>
      </c>
      <c r="E420" s="383">
        <f>Лист1!H195</f>
        <v>1990</v>
      </c>
      <c r="F420" s="276">
        <f t="shared" si="35"/>
        <v>666.65000000000009</v>
      </c>
      <c r="H420" s="347"/>
      <c r="I420" s="126"/>
      <c r="J420" s="127"/>
    </row>
    <row r="421" spans="1:10" x14ac:dyDescent="0.25">
      <c r="A421" s="394" t="str">
        <f>Лист1!B196</f>
        <v>Бумага Lomond 230</v>
      </c>
      <c r="B421" s="278" t="s">
        <v>93</v>
      </c>
      <c r="C421" s="235"/>
      <c r="D421" s="368">
        <f>Лист1!G196*$A$207</f>
        <v>0.67</v>
      </c>
      <c r="E421" s="383">
        <f>Лист1!H196</f>
        <v>430</v>
      </c>
      <c r="F421" s="276">
        <f t="shared" si="35"/>
        <v>288.10000000000002</v>
      </c>
      <c r="H421" s="347"/>
      <c r="I421" s="126"/>
      <c r="J421" s="127"/>
    </row>
    <row r="422" spans="1:10" x14ac:dyDescent="0.25">
      <c r="A422" s="394" t="str">
        <f>Лист1!B197</f>
        <v>Бумага Lomond 140</v>
      </c>
      <c r="B422" s="278" t="s">
        <v>93</v>
      </c>
      <c r="C422" s="235"/>
      <c r="D422" s="368">
        <f>Лист1!G197*$A$207</f>
        <v>0.67</v>
      </c>
      <c r="E422" s="383">
        <f>Лист1!H197</f>
        <v>870</v>
      </c>
      <c r="F422" s="276">
        <f t="shared" si="35"/>
        <v>582.90000000000009</v>
      </c>
      <c r="H422" s="347"/>
      <c r="I422" s="126"/>
      <c r="J422" s="127"/>
    </row>
    <row r="423" spans="1:10" x14ac:dyDescent="0.25">
      <c r="A423" s="394" t="str">
        <f>Лист1!B198</f>
        <v>Бумага Lomond 200</v>
      </c>
      <c r="B423" s="278" t="s">
        <v>93</v>
      </c>
      <c r="C423" s="235"/>
      <c r="D423" s="368">
        <f>Лист1!G198*$A$207</f>
        <v>0.67</v>
      </c>
      <c r="E423" s="383">
        <f>Лист1!H198</f>
        <v>580</v>
      </c>
      <c r="F423" s="276">
        <f t="shared" si="35"/>
        <v>388.6</v>
      </c>
      <c r="H423" s="347"/>
      <c r="I423" s="126"/>
      <c r="J423" s="127"/>
    </row>
    <row r="424" spans="1:10" x14ac:dyDescent="0.25">
      <c r="A424" s="394" t="str">
        <f>Лист1!B199</f>
        <v>Бумага Cactus 180</v>
      </c>
      <c r="B424" s="278" t="s">
        <v>93</v>
      </c>
      <c r="C424" s="235"/>
      <c r="D424" s="368">
        <f>Лист1!G199*$A$207</f>
        <v>0.67</v>
      </c>
      <c r="E424" s="383">
        <f>Лист1!H199</f>
        <v>760</v>
      </c>
      <c r="F424" s="276">
        <f t="shared" si="35"/>
        <v>509.20000000000005</v>
      </c>
      <c r="H424" s="347"/>
      <c r="I424" s="126"/>
      <c r="J424" s="127"/>
    </row>
    <row r="425" spans="1:10" x14ac:dyDescent="0.25">
      <c r="A425" s="394" t="str">
        <f>Лист1!B200</f>
        <v>Бумага Cactus 230</v>
      </c>
      <c r="B425" s="278" t="s">
        <v>93</v>
      </c>
      <c r="C425" s="235"/>
      <c r="D425" s="368">
        <f>Лист1!G200*$A$207</f>
        <v>0.67</v>
      </c>
      <c r="E425" s="383">
        <f>Лист1!H200</f>
        <v>810</v>
      </c>
      <c r="F425" s="276">
        <f t="shared" si="35"/>
        <v>542.70000000000005</v>
      </c>
      <c r="H425" s="347"/>
      <c r="I425" s="126"/>
      <c r="J425" s="127"/>
    </row>
    <row r="426" spans="1:10" hidden="1" x14ac:dyDescent="0.25">
      <c r="A426" s="394">
        <f>Лист1!B201</f>
        <v>0</v>
      </c>
      <c r="B426" s="278" t="s">
        <v>93</v>
      </c>
      <c r="C426" s="235"/>
      <c r="D426" s="368">
        <f>Лист1!G201*$A$207</f>
        <v>0</v>
      </c>
      <c r="E426" s="416"/>
      <c r="F426" s="127"/>
      <c r="H426" s="347"/>
      <c r="I426" s="126"/>
      <c r="J426" s="127"/>
    </row>
    <row r="427" spans="1:10" hidden="1" x14ac:dyDescent="0.25">
      <c r="A427" s="394">
        <f>Лист1!B202</f>
        <v>0</v>
      </c>
      <c r="B427" s="278" t="s">
        <v>93</v>
      </c>
      <c r="C427" s="235"/>
      <c r="D427" s="368">
        <f>Лист1!G202*$A$207</f>
        <v>0</v>
      </c>
      <c r="E427" s="416"/>
      <c r="F427" s="127"/>
      <c r="H427" s="347"/>
      <c r="I427" s="126"/>
      <c r="J427" s="127"/>
    </row>
    <row r="428" spans="1:10" hidden="1" x14ac:dyDescent="0.25">
      <c r="A428" s="394">
        <f>Лист1!B203</f>
        <v>0</v>
      </c>
      <c r="B428" s="278" t="s">
        <v>93</v>
      </c>
      <c r="C428" s="235"/>
      <c r="D428" s="368">
        <f>Лист1!G203*$A$207</f>
        <v>0</v>
      </c>
      <c r="E428" s="416"/>
      <c r="F428" s="127"/>
      <c r="H428" s="347"/>
      <c r="I428" s="126"/>
      <c r="J428" s="127"/>
    </row>
    <row r="429" spans="1:10" hidden="1" x14ac:dyDescent="0.25">
      <c r="A429" s="394">
        <f>Лист1!B204</f>
        <v>0</v>
      </c>
      <c r="B429" s="278" t="s">
        <v>93</v>
      </c>
      <c r="C429" s="235"/>
      <c r="D429" s="368">
        <f>Лист1!G204*$A$207</f>
        <v>0</v>
      </c>
      <c r="E429" s="416"/>
      <c r="F429" s="127"/>
      <c r="H429" s="347"/>
      <c r="I429" s="126"/>
      <c r="J429" s="127"/>
    </row>
    <row r="430" spans="1:10" hidden="1" x14ac:dyDescent="0.25">
      <c r="A430" s="394">
        <f>Лист1!B205</f>
        <v>0</v>
      </c>
      <c r="B430" s="278" t="s">
        <v>93</v>
      </c>
      <c r="C430" s="235"/>
      <c r="D430" s="368">
        <f>Лист1!G205*$A$207</f>
        <v>0</v>
      </c>
      <c r="E430" s="416"/>
      <c r="F430" s="127"/>
      <c r="H430" s="347"/>
      <c r="I430" s="126"/>
      <c r="J430" s="127"/>
    </row>
    <row r="431" spans="1:10" hidden="1" x14ac:dyDescent="0.25">
      <c r="A431" s="394">
        <f>Лист1!B206</f>
        <v>0</v>
      </c>
      <c r="B431" s="278" t="s">
        <v>93</v>
      </c>
      <c r="C431" s="235"/>
      <c r="D431" s="368">
        <f>Лист1!G206*$A$207</f>
        <v>0</v>
      </c>
      <c r="E431" s="416"/>
      <c r="F431" s="127"/>
      <c r="H431" s="347"/>
      <c r="I431" s="126"/>
      <c r="J431" s="127"/>
    </row>
    <row r="432" spans="1:10" hidden="1" x14ac:dyDescent="0.25">
      <c r="A432" s="394">
        <f>Лист1!B207</f>
        <v>0</v>
      </c>
      <c r="B432" s="278" t="s">
        <v>93</v>
      </c>
      <c r="C432" s="235"/>
      <c r="D432" s="368">
        <f>Лист1!G207*$A$207</f>
        <v>0</v>
      </c>
      <c r="E432" s="416"/>
      <c r="F432" s="127"/>
      <c r="H432" s="347"/>
      <c r="I432" s="126"/>
      <c r="J432" s="127"/>
    </row>
    <row r="433" spans="1:10" hidden="1" x14ac:dyDescent="0.25">
      <c r="A433" s="394">
        <f>Лист1!B208</f>
        <v>0</v>
      </c>
      <c r="B433" s="278" t="s">
        <v>93</v>
      </c>
      <c r="C433" s="235"/>
      <c r="D433" s="368">
        <f>Лист1!G208*$A$207</f>
        <v>0</v>
      </c>
      <c r="E433" s="416"/>
      <c r="F433" s="127"/>
      <c r="H433" s="347"/>
      <c r="I433" s="126"/>
      <c r="J433" s="127"/>
    </row>
    <row r="434" spans="1:10" hidden="1" x14ac:dyDescent="0.25">
      <c r="A434" s="394">
        <f>Лист1!B209</f>
        <v>0</v>
      </c>
      <c r="B434" s="278" t="s">
        <v>93</v>
      </c>
      <c r="C434" s="235"/>
      <c r="D434" s="368">
        <f>Лист1!G209*$A$207</f>
        <v>0</v>
      </c>
      <c r="E434" s="416"/>
      <c r="F434" s="127"/>
      <c r="H434" s="347"/>
      <c r="I434" s="126"/>
      <c r="J434" s="127"/>
    </row>
    <row r="435" spans="1:10" hidden="1" x14ac:dyDescent="0.25">
      <c r="A435" s="394">
        <f>Лист1!B210</f>
        <v>0</v>
      </c>
      <c r="B435" s="278" t="s">
        <v>93</v>
      </c>
      <c r="C435" s="235"/>
      <c r="D435" s="368">
        <f>Лист1!G210*$A$207</f>
        <v>0</v>
      </c>
      <c r="E435" s="416"/>
      <c r="F435" s="127"/>
      <c r="H435" s="347"/>
      <c r="I435" s="126"/>
      <c r="J435" s="127"/>
    </row>
    <row r="436" spans="1:10" hidden="1" x14ac:dyDescent="0.25">
      <c r="A436" s="394">
        <f>Лист1!B211</f>
        <v>0</v>
      </c>
      <c r="B436" s="278" t="s">
        <v>93</v>
      </c>
      <c r="C436" s="235"/>
      <c r="D436" s="368">
        <f>Лист1!G211*$A$207</f>
        <v>0</v>
      </c>
      <c r="E436" s="416"/>
      <c r="F436" s="127"/>
      <c r="H436" s="347"/>
      <c r="I436" s="126"/>
      <c r="J436" s="127"/>
    </row>
    <row r="437" spans="1:10" hidden="1" x14ac:dyDescent="0.25">
      <c r="A437" s="394">
        <f>Лист1!B212</f>
        <v>0</v>
      </c>
      <c r="B437" s="278" t="s">
        <v>93</v>
      </c>
      <c r="C437" s="235"/>
      <c r="D437" s="368">
        <f>Лист1!G212*$A$207</f>
        <v>0</v>
      </c>
      <c r="E437" s="416"/>
      <c r="F437" s="127"/>
      <c r="H437" s="347"/>
      <c r="I437" s="126"/>
      <c r="J437" s="127"/>
    </row>
    <row r="438" spans="1:10" hidden="1" x14ac:dyDescent="0.25">
      <c r="A438" s="394">
        <f>Лист1!B213</f>
        <v>0</v>
      </c>
      <c r="B438" s="278" t="s">
        <v>93</v>
      </c>
      <c r="C438" s="235"/>
      <c r="D438" s="368">
        <f>Лист1!G213*$A$207</f>
        <v>0</v>
      </c>
      <c r="E438" s="416"/>
      <c r="F438" s="127"/>
      <c r="H438" s="347"/>
      <c r="I438" s="126"/>
      <c r="J438" s="127"/>
    </row>
    <row r="439" spans="1:10" x14ac:dyDescent="0.25">
      <c r="A439" s="394">
        <f>Лист1!B214</f>
        <v>0</v>
      </c>
      <c r="B439" s="278"/>
      <c r="D439" s="368">
        <f>Лист1!G214*$A$207</f>
        <v>0</v>
      </c>
      <c r="E439" s="38" t="s">
        <v>102</v>
      </c>
      <c r="F439" s="227">
        <f>SUM(F211:F425)</f>
        <v>255320.58499999985</v>
      </c>
    </row>
    <row r="440" spans="1:10" x14ac:dyDescent="0.25">
      <c r="A440" s="394">
        <f>Лист1!B215</f>
        <v>0</v>
      </c>
    </row>
    <row r="441" spans="1:10" x14ac:dyDescent="0.25">
      <c r="A441" s="394">
        <f>Лист1!B216</f>
        <v>0</v>
      </c>
    </row>
    <row r="442" spans="1:10" x14ac:dyDescent="0.25">
      <c r="A442" s="394">
        <f>Лист1!B217</f>
        <v>0</v>
      </c>
    </row>
    <row r="443" spans="1:10" x14ac:dyDescent="0.25">
      <c r="A443" s="394">
        <f>Лист1!B218</f>
        <v>0</v>
      </c>
    </row>
    <row r="444" spans="1:10" x14ac:dyDescent="0.25">
      <c r="A444" s="394">
        <f>Лист1!B219</f>
        <v>0</v>
      </c>
    </row>
    <row r="445" spans="1:10" x14ac:dyDescent="0.25">
      <c r="A445" s="394">
        <f>Лист1!B220</f>
        <v>0</v>
      </c>
    </row>
    <row r="446" spans="1:10" x14ac:dyDescent="0.25">
      <c r="A446" s="394">
        <f>Лист1!B221</f>
        <v>0</v>
      </c>
    </row>
    <row r="447" spans="1:10" x14ac:dyDescent="0.25">
      <c r="A447" s="394">
        <f>Лист1!B222</f>
        <v>0</v>
      </c>
    </row>
    <row r="448" spans="1:10" x14ac:dyDescent="0.25">
      <c r="A448" s="394">
        <f>Лист1!B223</f>
        <v>0</v>
      </c>
    </row>
    <row r="449" spans="1:1" x14ac:dyDescent="0.25">
      <c r="A449" s="394">
        <f>Лист1!B224</f>
        <v>0</v>
      </c>
    </row>
    <row r="450" spans="1:1" x14ac:dyDescent="0.25">
      <c r="A450" s="394">
        <f>Лист1!B225</f>
        <v>0</v>
      </c>
    </row>
    <row r="451" spans="1:1" x14ac:dyDescent="0.25">
      <c r="A451" s="394">
        <f>Лист1!B226</f>
        <v>0</v>
      </c>
    </row>
    <row r="452" spans="1:1" x14ac:dyDescent="0.25">
      <c r="A452" s="394">
        <f>Лист1!B227</f>
        <v>0</v>
      </c>
    </row>
    <row r="453" spans="1:1" x14ac:dyDescent="0.25">
      <c r="A453" s="394">
        <f>Лист1!B228</f>
        <v>0</v>
      </c>
    </row>
    <row r="454" spans="1:1" x14ac:dyDescent="0.25">
      <c r="A454" s="394">
        <f>Лист1!B229</f>
        <v>0</v>
      </c>
    </row>
    <row r="455" spans="1:1" x14ac:dyDescent="0.25">
      <c r="A455" s="394">
        <f>Лист1!B230</f>
        <v>0</v>
      </c>
    </row>
    <row r="456" spans="1:1" x14ac:dyDescent="0.25">
      <c r="A456" s="394">
        <f>Лист1!B231</f>
        <v>0</v>
      </c>
    </row>
    <row r="457" spans="1:1" x14ac:dyDescent="0.25">
      <c r="A457" s="394">
        <f>Лист1!B232</f>
        <v>0</v>
      </c>
    </row>
  </sheetData>
  <mergeCells count="138"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A19:B19"/>
    <mergeCell ref="B3:H3"/>
    <mergeCell ref="A4:E4"/>
    <mergeCell ref="A5:E5"/>
    <mergeCell ref="A6:E6"/>
    <mergeCell ref="A7:E7"/>
    <mergeCell ref="A16:F16"/>
    <mergeCell ref="A18:F18"/>
    <mergeCell ref="A1:I1"/>
    <mergeCell ref="A8:E8"/>
    <mergeCell ref="D9:E9"/>
    <mergeCell ref="D10:E10"/>
    <mergeCell ref="D12:E12"/>
    <mergeCell ref="D14:E14"/>
    <mergeCell ref="A88:F88"/>
    <mergeCell ref="D50:D51"/>
    <mergeCell ref="E50:E51"/>
    <mergeCell ref="A50:B51"/>
    <mergeCell ref="A94:B94"/>
    <mergeCell ref="A91:B91"/>
    <mergeCell ref="A92:B92"/>
    <mergeCell ref="B104:C104"/>
    <mergeCell ref="A100:H100"/>
    <mergeCell ref="A101:A103"/>
    <mergeCell ref="B101:C103"/>
    <mergeCell ref="D101:H101"/>
    <mergeCell ref="D102:D103"/>
    <mergeCell ref="E102:E103"/>
    <mergeCell ref="F102:F103"/>
    <mergeCell ref="G102:G103"/>
    <mergeCell ref="H102:H103"/>
    <mergeCell ref="A95:B95"/>
    <mergeCell ref="A96:B96"/>
    <mergeCell ref="G50:G51"/>
    <mergeCell ref="A52:B52"/>
    <mergeCell ref="A86:B86"/>
    <mergeCell ref="A63:B63"/>
    <mergeCell ref="A90:B90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2:C42"/>
    <mergeCell ref="B43:C43"/>
    <mergeCell ref="B44:C44"/>
    <mergeCell ref="G168:G169"/>
    <mergeCell ref="A155:A156"/>
    <mergeCell ref="B155:B156"/>
    <mergeCell ref="D155:D156"/>
    <mergeCell ref="E155:E156"/>
    <mergeCell ref="F155:F156"/>
    <mergeCell ref="G155:G156"/>
    <mergeCell ref="A165:F165"/>
    <mergeCell ref="A166:F166"/>
    <mergeCell ref="F168:F169"/>
    <mergeCell ref="A97:F97"/>
    <mergeCell ref="A121:F121"/>
    <mergeCell ref="A131:E131"/>
    <mergeCell ref="A148:B148"/>
    <mergeCell ref="A149:B149"/>
    <mergeCell ref="A150:B150"/>
    <mergeCell ref="F133:F134"/>
    <mergeCell ref="A142:E142"/>
    <mergeCell ref="A143:F143"/>
    <mergeCell ref="A146:B146"/>
    <mergeCell ref="A133:A134"/>
    <mergeCell ref="B133:B134"/>
    <mergeCell ref="D133:D134"/>
    <mergeCell ref="E133:E134"/>
    <mergeCell ref="A111:H111"/>
    <mergeCell ref="A112:A114"/>
    <mergeCell ref="B112:C114"/>
    <mergeCell ref="D112:F112"/>
    <mergeCell ref="D113:D114"/>
    <mergeCell ref="E113:E114"/>
    <mergeCell ref="F113:F114"/>
    <mergeCell ref="B115:C115"/>
    <mergeCell ref="A93:B93"/>
    <mergeCell ref="A152:B152"/>
    <mergeCell ref="A205:E205"/>
    <mergeCell ref="A206:F206"/>
    <mergeCell ref="A207:F207"/>
    <mergeCell ref="A208:A209"/>
    <mergeCell ref="B208:B209"/>
    <mergeCell ref="D208:D209"/>
    <mergeCell ref="E208:E209"/>
    <mergeCell ref="F208:F209"/>
    <mergeCell ref="A173:F173"/>
    <mergeCell ref="A174:F174"/>
    <mergeCell ref="A175:F175"/>
    <mergeCell ref="A177:A178"/>
    <mergeCell ref="B177:B178"/>
    <mergeCell ref="D177:D178"/>
    <mergeCell ref="E177:E178"/>
    <mergeCell ref="F177:F178"/>
    <mergeCell ref="A153:F153"/>
    <mergeCell ref="A168:A169"/>
    <mergeCell ref="B168:B169"/>
    <mergeCell ref="D168:D169"/>
    <mergeCell ref="E168:E169"/>
    <mergeCell ref="A147:B147"/>
  </mergeCells>
  <printOptions horizontalCentered="1" verticalCentered="1"/>
  <pageMargins left="0.35433070866141736" right="0.31496062992125984" top="0.35433070866141736" bottom="0.35433070866141736" header="0" footer="0"/>
  <pageSetup paperSize="9" scale="47" fitToHeight="4" orientation="portrait" r:id="rId1"/>
  <rowBreaks count="3" manualBreakCount="3">
    <brk id="58" max="8" man="1"/>
    <brk id="152" max="8" man="1"/>
    <brk id="20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D84D2-BB12-4BBF-846B-1468D39C603A}">
  <sheetPr>
    <tabColor rgb="FF92D050"/>
  </sheetPr>
  <dimension ref="A1:K200"/>
  <sheetViews>
    <sheetView workbookViewId="0">
      <selection activeCell="I8" sqref="I8:K8"/>
    </sheetView>
  </sheetViews>
  <sheetFormatPr defaultRowHeight="15" x14ac:dyDescent="0.25"/>
  <sheetData>
    <row r="1" spans="1:11" ht="15" customHeight="1" x14ac:dyDescent="0.25">
      <c r="A1" s="285" t="s">
        <v>213</v>
      </c>
      <c r="B1" s="522" t="s">
        <v>129</v>
      </c>
      <c r="C1" s="522"/>
      <c r="D1" s="522"/>
      <c r="E1" s="522"/>
      <c r="F1" s="522"/>
      <c r="G1" s="285" t="s">
        <v>214</v>
      </c>
      <c r="H1" s="284" t="s">
        <v>215</v>
      </c>
      <c r="I1" s="522" t="s">
        <v>216</v>
      </c>
      <c r="J1" s="522"/>
      <c r="K1" s="522"/>
    </row>
    <row r="2" spans="1:11" ht="15" customHeight="1" x14ac:dyDescent="0.25">
      <c r="A2" s="285">
        <v>1</v>
      </c>
      <c r="B2" s="515">
        <v>2</v>
      </c>
      <c r="C2" s="560"/>
      <c r="D2" s="560"/>
      <c r="E2" s="560"/>
      <c r="F2" s="516"/>
      <c r="G2" s="285">
        <v>3</v>
      </c>
      <c r="H2" s="285">
        <v>4</v>
      </c>
      <c r="I2" s="561">
        <v>5</v>
      </c>
      <c r="J2" s="562"/>
      <c r="K2" s="563"/>
    </row>
    <row r="3" spans="1:11" ht="15" customHeight="1" x14ac:dyDescent="0.25">
      <c r="A3" s="285">
        <v>1</v>
      </c>
      <c r="B3" s="564" t="s">
        <v>322</v>
      </c>
      <c r="C3" s="565"/>
      <c r="D3" s="565"/>
      <c r="E3" s="565"/>
      <c r="F3" s="566"/>
      <c r="G3" s="398">
        <v>50</v>
      </c>
      <c r="H3" s="398">
        <v>28</v>
      </c>
      <c r="I3" s="399"/>
      <c r="J3" s="400"/>
      <c r="K3" s="401">
        <f>G3*H3</f>
        <v>1400</v>
      </c>
    </row>
    <row r="4" spans="1:11" ht="15" customHeight="1" x14ac:dyDescent="0.25">
      <c r="A4" s="285">
        <v>2</v>
      </c>
      <c r="B4" s="551" t="s">
        <v>323</v>
      </c>
      <c r="C4" s="552"/>
      <c r="D4" s="552"/>
      <c r="E4" s="552"/>
      <c r="F4" s="553"/>
      <c r="G4" s="368">
        <v>1</v>
      </c>
      <c r="H4" s="368">
        <v>5</v>
      </c>
      <c r="I4" s="339"/>
      <c r="J4" s="340"/>
      <c r="K4" s="341">
        <f>G4*H4</f>
        <v>5</v>
      </c>
    </row>
    <row r="5" spans="1:11" ht="15" customHeight="1" x14ac:dyDescent="0.25">
      <c r="A5" s="285">
        <v>3</v>
      </c>
      <c r="B5" s="551" t="s">
        <v>324</v>
      </c>
      <c r="C5" s="552"/>
      <c r="D5" s="552"/>
      <c r="E5" s="552"/>
      <c r="F5" s="553"/>
      <c r="G5" s="368">
        <v>5</v>
      </c>
      <c r="H5" s="368">
        <v>163</v>
      </c>
      <c r="I5" s="339"/>
      <c r="J5" s="340"/>
      <c r="K5" s="341">
        <f>G5*H5</f>
        <v>815</v>
      </c>
    </row>
    <row r="6" spans="1:11" ht="15" customHeight="1" x14ac:dyDescent="0.25">
      <c r="A6" s="285">
        <v>4</v>
      </c>
      <c r="B6" s="570" t="s">
        <v>325</v>
      </c>
      <c r="C6" s="570"/>
      <c r="D6" s="570"/>
      <c r="E6" s="570"/>
      <c r="F6" s="570"/>
      <c r="G6" s="398">
        <v>5</v>
      </c>
      <c r="H6" s="402">
        <v>180</v>
      </c>
      <c r="I6" s="557">
        <f t="shared" ref="I6:I57" si="0">G6*H6</f>
        <v>900</v>
      </c>
      <c r="J6" s="558"/>
      <c r="K6" s="559"/>
    </row>
    <row r="7" spans="1:11" ht="15" customHeight="1" x14ac:dyDescent="0.25">
      <c r="A7" s="285">
        <v>5</v>
      </c>
      <c r="B7" s="564" t="s">
        <v>326</v>
      </c>
      <c r="C7" s="565"/>
      <c r="D7" s="565"/>
      <c r="E7" s="565"/>
      <c r="F7" s="566"/>
      <c r="G7" s="398">
        <v>3</v>
      </c>
      <c r="H7" s="402">
        <v>379</v>
      </c>
      <c r="I7" s="557">
        <f t="shared" si="0"/>
        <v>1137</v>
      </c>
      <c r="J7" s="558"/>
      <c r="K7" s="559"/>
    </row>
    <row r="8" spans="1:11" ht="15" customHeight="1" x14ac:dyDescent="0.25">
      <c r="A8" s="285">
        <v>6</v>
      </c>
      <c r="B8" s="395" t="s">
        <v>327</v>
      </c>
      <c r="C8" s="396"/>
      <c r="D8" s="396"/>
      <c r="E8" s="396"/>
      <c r="F8" s="397"/>
      <c r="G8" s="398">
        <v>26</v>
      </c>
      <c r="H8" s="402">
        <v>76</v>
      </c>
      <c r="I8" s="557">
        <f t="shared" si="0"/>
        <v>1976</v>
      </c>
      <c r="J8" s="558"/>
      <c r="K8" s="559"/>
    </row>
    <row r="9" spans="1:11" x14ac:dyDescent="0.25">
      <c r="A9" s="285">
        <v>7</v>
      </c>
      <c r="B9" s="395" t="s">
        <v>328</v>
      </c>
      <c r="C9" s="396"/>
      <c r="D9" s="396"/>
      <c r="E9" s="396"/>
      <c r="F9" s="397"/>
      <c r="G9" s="398">
        <v>7</v>
      </c>
      <c r="H9" s="402">
        <v>28</v>
      </c>
      <c r="I9" s="557">
        <f t="shared" si="0"/>
        <v>196</v>
      </c>
      <c r="J9" s="558"/>
      <c r="K9" s="559"/>
    </row>
    <row r="10" spans="1:11" ht="15" customHeight="1" x14ac:dyDescent="0.25">
      <c r="A10" s="285">
        <v>8</v>
      </c>
      <c r="B10" s="395" t="s">
        <v>329</v>
      </c>
      <c r="C10" s="396"/>
      <c r="D10" s="396"/>
      <c r="E10" s="396"/>
      <c r="F10" s="397"/>
      <c r="G10" s="398">
        <v>10</v>
      </c>
      <c r="H10" s="402">
        <v>68</v>
      </c>
      <c r="I10" s="557">
        <f t="shared" si="0"/>
        <v>680</v>
      </c>
      <c r="J10" s="558"/>
      <c r="K10" s="559"/>
    </row>
    <row r="11" spans="1:11" ht="15" customHeight="1" x14ac:dyDescent="0.25">
      <c r="A11" s="285">
        <v>9</v>
      </c>
      <c r="B11" s="395" t="s">
        <v>329</v>
      </c>
      <c r="C11" s="396"/>
      <c r="D11" s="396"/>
      <c r="E11" s="396"/>
      <c r="F11" s="397"/>
      <c r="G11" s="398">
        <v>10</v>
      </c>
      <c r="H11" s="402">
        <v>105</v>
      </c>
      <c r="I11" s="557">
        <f t="shared" si="0"/>
        <v>1050</v>
      </c>
      <c r="J11" s="558"/>
      <c r="K11" s="559"/>
    </row>
    <row r="12" spans="1:11" ht="15" customHeight="1" x14ac:dyDescent="0.25">
      <c r="A12" s="285">
        <v>10</v>
      </c>
      <c r="B12" s="395" t="s">
        <v>329</v>
      </c>
      <c r="C12" s="396"/>
      <c r="D12" s="396"/>
      <c r="E12" s="396"/>
      <c r="F12" s="397"/>
      <c r="G12" s="398">
        <v>6</v>
      </c>
      <c r="H12" s="402">
        <v>93</v>
      </c>
      <c r="I12" s="557">
        <f t="shared" si="0"/>
        <v>558</v>
      </c>
      <c r="J12" s="558"/>
      <c r="K12" s="559"/>
    </row>
    <row r="13" spans="1:11" ht="15" customHeight="1" x14ac:dyDescent="0.25">
      <c r="A13" s="285">
        <v>11</v>
      </c>
      <c r="B13" s="395" t="s">
        <v>330</v>
      </c>
      <c r="C13" s="396"/>
      <c r="D13" s="396"/>
      <c r="E13" s="396"/>
      <c r="F13" s="397"/>
      <c r="G13" s="398">
        <v>2</v>
      </c>
      <c r="H13" s="402">
        <v>220</v>
      </c>
      <c r="I13" s="557">
        <f t="shared" si="0"/>
        <v>440</v>
      </c>
      <c r="J13" s="558"/>
      <c r="K13" s="559"/>
    </row>
    <row r="14" spans="1:11" ht="15" customHeight="1" x14ac:dyDescent="0.25">
      <c r="A14" s="285">
        <v>12</v>
      </c>
      <c r="B14" s="379" t="s">
        <v>331</v>
      </c>
      <c r="C14" s="380"/>
      <c r="D14" s="380"/>
      <c r="E14" s="380"/>
      <c r="F14" s="381"/>
      <c r="G14" s="368">
        <v>1</v>
      </c>
      <c r="H14" s="124">
        <v>543</v>
      </c>
      <c r="I14" s="554">
        <f t="shared" si="0"/>
        <v>543</v>
      </c>
      <c r="J14" s="555"/>
      <c r="K14" s="556"/>
    </row>
    <row r="15" spans="1:11" ht="15" customHeight="1" x14ac:dyDescent="0.25">
      <c r="A15" s="285">
        <v>13</v>
      </c>
      <c r="B15" s="564" t="s">
        <v>332</v>
      </c>
      <c r="C15" s="565"/>
      <c r="D15" s="565"/>
      <c r="E15" s="565"/>
      <c r="F15" s="566"/>
      <c r="G15" s="398">
        <v>3</v>
      </c>
      <c r="H15" s="402">
        <v>270</v>
      </c>
      <c r="I15" s="557">
        <f t="shared" si="0"/>
        <v>810</v>
      </c>
      <c r="J15" s="558"/>
      <c r="K15" s="559"/>
    </row>
    <row r="16" spans="1:11" ht="25.5" x14ac:dyDescent="0.25">
      <c r="A16" s="285">
        <v>14</v>
      </c>
      <c r="B16" s="395" t="s">
        <v>333</v>
      </c>
      <c r="C16" s="396"/>
      <c r="D16" s="396"/>
      <c r="E16" s="396"/>
      <c r="F16" s="397"/>
      <c r="G16" s="398">
        <v>3</v>
      </c>
      <c r="H16" s="402">
        <v>235</v>
      </c>
      <c r="I16" s="403"/>
      <c r="J16" s="404"/>
      <c r="K16" s="405">
        <f>G16*H16</f>
        <v>705</v>
      </c>
    </row>
    <row r="17" spans="1:11" ht="15" customHeight="1" x14ac:dyDescent="0.25">
      <c r="A17" s="285">
        <v>15</v>
      </c>
      <c r="B17" s="395" t="s">
        <v>327</v>
      </c>
      <c r="C17" s="396"/>
      <c r="D17" s="396"/>
      <c r="E17" s="396"/>
      <c r="F17" s="397"/>
      <c r="G17" s="398">
        <v>5</v>
      </c>
      <c r="H17" s="402">
        <v>165</v>
      </c>
      <c r="I17" s="403"/>
      <c r="J17" s="404"/>
      <c r="K17" s="405">
        <f t="shared" ref="K17:K49" si="1">G17*H17</f>
        <v>825</v>
      </c>
    </row>
    <row r="18" spans="1:11" ht="15" customHeight="1" x14ac:dyDescent="0.25">
      <c r="A18" s="285">
        <v>16</v>
      </c>
      <c r="B18" s="551" t="s">
        <v>334</v>
      </c>
      <c r="C18" s="552"/>
      <c r="D18" s="552"/>
      <c r="E18" s="552"/>
      <c r="F18" s="553"/>
      <c r="G18" s="368">
        <v>2</v>
      </c>
      <c r="H18" s="124">
        <v>280</v>
      </c>
      <c r="I18" s="357"/>
      <c r="J18" s="358"/>
      <c r="K18" s="378">
        <f t="shared" si="1"/>
        <v>560</v>
      </c>
    </row>
    <row r="19" spans="1:11" ht="15" customHeight="1" x14ac:dyDescent="0.25">
      <c r="A19" s="285">
        <v>17</v>
      </c>
      <c r="B19" s="379" t="s">
        <v>335</v>
      </c>
      <c r="C19" s="380"/>
      <c r="D19" s="380"/>
      <c r="E19" s="380"/>
      <c r="F19" s="381"/>
      <c r="G19" s="368">
        <v>12</v>
      </c>
      <c r="H19" s="124">
        <v>120</v>
      </c>
      <c r="I19" s="357"/>
      <c r="J19" s="358"/>
      <c r="K19" s="378">
        <f t="shared" si="1"/>
        <v>1440</v>
      </c>
    </row>
    <row r="20" spans="1:11" ht="15" customHeight="1" x14ac:dyDescent="0.25">
      <c r="A20" s="285">
        <v>18</v>
      </c>
      <c r="B20" s="379" t="s">
        <v>336</v>
      </c>
      <c r="C20" s="380"/>
      <c r="D20" s="380"/>
      <c r="E20" s="380"/>
      <c r="F20" s="381"/>
      <c r="G20" s="368">
        <v>2</v>
      </c>
      <c r="H20" s="124">
        <v>77</v>
      </c>
      <c r="I20" s="357"/>
      <c r="J20" s="358"/>
      <c r="K20" s="378">
        <f t="shared" si="1"/>
        <v>154</v>
      </c>
    </row>
    <row r="21" spans="1:11" ht="15" customHeight="1" x14ac:dyDescent="0.25">
      <c r="A21" s="285">
        <v>19</v>
      </c>
      <c r="B21" s="395" t="s">
        <v>337</v>
      </c>
      <c r="C21" s="396"/>
      <c r="D21" s="396"/>
      <c r="E21" s="396"/>
      <c r="F21" s="397"/>
      <c r="G21" s="398">
        <v>1</v>
      </c>
      <c r="H21" s="402">
        <v>220</v>
      </c>
      <c r="I21" s="403"/>
      <c r="J21" s="404"/>
      <c r="K21" s="405">
        <f t="shared" si="1"/>
        <v>220</v>
      </c>
    </row>
    <row r="22" spans="1:11" ht="15" customHeight="1" x14ac:dyDescent="0.25">
      <c r="A22" s="285">
        <v>20</v>
      </c>
      <c r="B22" s="395" t="s">
        <v>338</v>
      </c>
      <c r="C22" s="396"/>
      <c r="D22" s="396"/>
      <c r="E22" s="396"/>
      <c r="F22" s="397"/>
      <c r="G22" s="398">
        <v>1</v>
      </c>
      <c r="H22" s="402">
        <v>193</v>
      </c>
      <c r="I22" s="403"/>
      <c r="J22" s="404"/>
      <c r="K22" s="405">
        <f t="shared" si="1"/>
        <v>193</v>
      </c>
    </row>
    <row r="23" spans="1:11" ht="15" customHeight="1" x14ac:dyDescent="0.25">
      <c r="A23" s="285">
        <v>21</v>
      </c>
      <c r="B23" s="395" t="s">
        <v>339</v>
      </c>
      <c r="C23" s="396"/>
      <c r="D23" s="396"/>
      <c r="E23" s="396"/>
      <c r="F23" s="397"/>
      <c r="G23" s="398">
        <v>4</v>
      </c>
      <c r="H23" s="402">
        <v>270</v>
      </c>
      <c r="I23" s="403"/>
      <c r="J23" s="404"/>
      <c r="K23" s="405">
        <f t="shared" si="1"/>
        <v>1080</v>
      </c>
    </row>
    <row r="24" spans="1:11" ht="15" customHeight="1" x14ac:dyDescent="0.25">
      <c r="A24" s="285">
        <v>22</v>
      </c>
      <c r="B24" s="395" t="s">
        <v>340</v>
      </c>
      <c r="C24" s="396"/>
      <c r="D24" s="396"/>
      <c r="E24" s="396"/>
      <c r="F24" s="397"/>
      <c r="G24" s="398">
        <v>5</v>
      </c>
      <c r="H24" s="402">
        <v>54</v>
      </c>
      <c r="I24" s="403"/>
      <c r="J24" s="404"/>
      <c r="K24" s="405">
        <f t="shared" si="1"/>
        <v>270</v>
      </c>
    </row>
    <row r="25" spans="1:11" ht="15" customHeight="1" x14ac:dyDescent="0.25">
      <c r="A25" s="285">
        <v>23</v>
      </c>
      <c r="B25" s="395" t="s">
        <v>341</v>
      </c>
      <c r="C25" s="396"/>
      <c r="D25" s="396"/>
      <c r="E25" s="396"/>
      <c r="F25" s="397"/>
      <c r="G25" s="398">
        <v>2</v>
      </c>
      <c r="H25" s="402">
        <v>223</v>
      </c>
      <c r="I25" s="403"/>
      <c r="J25" s="404"/>
      <c r="K25" s="405">
        <f t="shared" si="1"/>
        <v>446</v>
      </c>
    </row>
    <row r="26" spans="1:11" ht="15" customHeight="1" x14ac:dyDescent="0.25">
      <c r="A26" s="285">
        <v>24</v>
      </c>
      <c r="B26" s="395" t="s">
        <v>341</v>
      </c>
      <c r="C26" s="396"/>
      <c r="D26" s="396"/>
      <c r="E26" s="396"/>
      <c r="F26" s="397"/>
      <c r="G26" s="398">
        <v>2</v>
      </c>
      <c r="H26" s="402">
        <v>90</v>
      </c>
      <c r="I26" s="403"/>
      <c r="J26" s="404"/>
      <c r="K26" s="405">
        <f t="shared" si="1"/>
        <v>180</v>
      </c>
    </row>
    <row r="27" spans="1:11" ht="15" customHeight="1" x14ac:dyDescent="0.25">
      <c r="A27" s="285">
        <v>25</v>
      </c>
      <c r="B27" s="395" t="s">
        <v>342</v>
      </c>
      <c r="C27" s="396"/>
      <c r="D27" s="396"/>
      <c r="E27" s="396"/>
      <c r="F27" s="397"/>
      <c r="G27" s="398">
        <v>199</v>
      </c>
      <c r="H27" s="402">
        <v>1</v>
      </c>
      <c r="I27" s="403"/>
      <c r="J27" s="404"/>
      <c r="K27" s="405">
        <f t="shared" si="1"/>
        <v>199</v>
      </c>
    </row>
    <row r="28" spans="1:11" ht="15" customHeight="1" x14ac:dyDescent="0.25">
      <c r="A28" s="285">
        <v>26</v>
      </c>
      <c r="B28" s="379" t="s">
        <v>343</v>
      </c>
      <c r="C28" s="380"/>
      <c r="D28" s="380"/>
      <c r="E28" s="380"/>
      <c r="F28" s="381"/>
      <c r="G28" s="368">
        <v>1</v>
      </c>
      <c r="H28" s="124">
        <v>371</v>
      </c>
      <c r="I28" s="357"/>
      <c r="J28" s="358"/>
      <c r="K28" s="378">
        <f t="shared" si="1"/>
        <v>371</v>
      </c>
    </row>
    <row r="29" spans="1:11" ht="15" customHeight="1" x14ac:dyDescent="0.25">
      <c r="A29" s="285">
        <v>27</v>
      </c>
      <c r="B29" s="379" t="s">
        <v>344</v>
      </c>
      <c r="C29" s="380"/>
      <c r="D29" s="380"/>
      <c r="E29" s="380"/>
      <c r="F29" s="381"/>
      <c r="G29" s="368">
        <v>1</v>
      </c>
      <c r="H29" s="124">
        <v>329</v>
      </c>
      <c r="I29" s="357"/>
      <c r="J29" s="358"/>
      <c r="K29" s="378">
        <f t="shared" si="1"/>
        <v>329</v>
      </c>
    </row>
    <row r="30" spans="1:11" ht="15" customHeight="1" x14ac:dyDescent="0.25">
      <c r="A30" s="285">
        <v>28</v>
      </c>
      <c r="B30" s="379" t="s">
        <v>345</v>
      </c>
      <c r="C30" s="380"/>
      <c r="D30" s="380"/>
      <c r="E30" s="380"/>
      <c r="F30" s="381"/>
      <c r="G30" s="368">
        <v>1</v>
      </c>
      <c r="H30" s="124">
        <v>101</v>
      </c>
      <c r="I30" s="357"/>
      <c r="J30" s="358"/>
      <c r="K30" s="378">
        <f t="shared" si="1"/>
        <v>101</v>
      </c>
    </row>
    <row r="31" spans="1:11" x14ac:dyDescent="0.25">
      <c r="A31" s="285">
        <v>29</v>
      </c>
      <c r="B31" s="379" t="s">
        <v>345</v>
      </c>
      <c r="C31" s="380"/>
      <c r="D31" s="380"/>
      <c r="E31" s="380"/>
      <c r="F31" s="381"/>
      <c r="G31" s="368">
        <v>1</v>
      </c>
      <c r="H31" s="124">
        <v>61</v>
      </c>
      <c r="I31" s="357"/>
      <c r="J31" s="358"/>
      <c r="K31" s="378">
        <f t="shared" si="1"/>
        <v>61</v>
      </c>
    </row>
    <row r="32" spans="1:11" ht="15" customHeight="1" x14ac:dyDescent="0.25">
      <c r="A32" s="285">
        <v>30</v>
      </c>
      <c r="B32" s="379" t="s">
        <v>346</v>
      </c>
      <c r="C32" s="380"/>
      <c r="D32" s="380"/>
      <c r="E32" s="380"/>
      <c r="F32" s="381"/>
      <c r="G32" s="368">
        <v>1</v>
      </c>
      <c r="H32" s="124">
        <v>582</v>
      </c>
      <c r="I32" s="357"/>
      <c r="J32" s="358"/>
      <c r="K32" s="378">
        <f t="shared" si="1"/>
        <v>582</v>
      </c>
    </row>
    <row r="33" spans="1:11" ht="15" customHeight="1" x14ac:dyDescent="0.25">
      <c r="A33" s="285">
        <v>31</v>
      </c>
      <c r="B33" s="379" t="s">
        <v>346</v>
      </c>
      <c r="C33" s="380"/>
      <c r="D33" s="380"/>
      <c r="E33" s="380"/>
      <c r="F33" s="381"/>
      <c r="G33" s="368">
        <v>1</v>
      </c>
      <c r="H33" s="124">
        <v>449</v>
      </c>
      <c r="I33" s="357"/>
      <c r="J33" s="358"/>
      <c r="K33" s="378">
        <f t="shared" si="1"/>
        <v>449</v>
      </c>
    </row>
    <row r="34" spans="1:11" ht="15" customHeight="1" x14ac:dyDescent="0.25">
      <c r="A34" s="285">
        <v>32</v>
      </c>
      <c r="B34" s="379" t="s">
        <v>347</v>
      </c>
      <c r="C34" s="380"/>
      <c r="D34" s="380"/>
      <c r="E34" s="380"/>
      <c r="F34" s="381"/>
      <c r="G34" s="368">
        <v>1</v>
      </c>
      <c r="H34" s="124">
        <v>800</v>
      </c>
      <c r="I34" s="357"/>
      <c r="J34" s="358"/>
      <c r="K34" s="378">
        <f t="shared" si="1"/>
        <v>800</v>
      </c>
    </row>
    <row r="35" spans="1:11" x14ac:dyDescent="0.25">
      <c r="A35" s="285">
        <v>33</v>
      </c>
      <c r="B35" s="395" t="s">
        <v>348</v>
      </c>
      <c r="C35" s="396"/>
      <c r="D35" s="396"/>
      <c r="E35" s="396"/>
      <c r="F35" s="397"/>
      <c r="G35" s="398">
        <v>200</v>
      </c>
      <c r="H35" s="402">
        <v>28</v>
      </c>
      <c r="I35" s="403"/>
      <c r="J35" s="404"/>
      <c r="K35" s="405">
        <f t="shared" si="1"/>
        <v>5600</v>
      </c>
    </row>
    <row r="36" spans="1:11" x14ac:dyDescent="0.25">
      <c r="A36" s="285">
        <v>34</v>
      </c>
      <c r="B36" s="395" t="s">
        <v>349</v>
      </c>
      <c r="C36" s="396"/>
      <c r="D36" s="396"/>
      <c r="E36" s="396"/>
      <c r="F36" s="397"/>
      <c r="G36" s="398">
        <v>200</v>
      </c>
      <c r="H36" s="402">
        <v>43</v>
      </c>
      <c r="I36" s="403"/>
      <c r="J36" s="404"/>
      <c r="K36" s="405">
        <f t="shared" si="1"/>
        <v>8600</v>
      </c>
    </row>
    <row r="37" spans="1:11" x14ac:dyDescent="0.25">
      <c r="A37" s="285">
        <v>35</v>
      </c>
      <c r="B37" s="379" t="s">
        <v>350</v>
      </c>
      <c r="C37" s="380"/>
      <c r="D37" s="380"/>
      <c r="E37" s="380"/>
      <c r="F37" s="381"/>
      <c r="G37" s="368">
        <v>5</v>
      </c>
      <c r="H37" s="124">
        <v>50</v>
      </c>
      <c r="I37" s="357"/>
      <c r="J37" s="358"/>
      <c r="K37" s="378">
        <f t="shared" si="1"/>
        <v>250</v>
      </c>
    </row>
    <row r="38" spans="1:11" ht="38.25" x14ac:dyDescent="0.25">
      <c r="A38" s="285">
        <v>36</v>
      </c>
      <c r="B38" s="379" t="s">
        <v>351</v>
      </c>
      <c r="C38" s="380"/>
      <c r="D38" s="380"/>
      <c r="E38" s="380"/>
      <c r="F38" s="381"/>
      <c r="G38" s="368">
        <v>10</v>
      </c>
      <c r="H38" s="124">
        <v>15</v>
      </c>
      <c r="I38" s="357"/>
      <c r="J38" s="358"/>
      <c r="K38" s="378">
        <f t="shared" si="1"/>
        <v>150</v>
      </c>
    </row>
    <row r="39" spans="1:11" x14ac:dyDescent="0.25">
      <c r="A39" s="285">
        <v>37</v>
      </c>
      <c r="B39" s="395" t="s">
        <v>324</v>
      </c>
      <c r="C39" s="396"/>
      <c r="D39" s="396"/>
      <c r="E39" s="396"/>
      <c r="F39" s="397"/>
      <c r="G39" s="398">
        <v>10</v>
      </c>
      <c r="H39" s="402">
        <v>219</v>
      </c>
      <c r="I39" s="403"/>
      <c r="J39" s="404"/>
      <c r="K39" s="405">
        <f t="shared" si="1"/>
        <v>2190</v>
      </c>
    </row>
    <row r="40" spans="1:11" x14ac:dyDescent="0.25">
      <c r="A40" s="285">
        <v>38</v>
      </c>
      <c r="B40" s="395" t="s">
        <v>324</v>
      </c>
      <c r="C40" s="396"/>
      <c r="D40" s="396"/>
      <c r="E40" s="396"/>
      <c r="F40" s="397"/>
      <c r="G40" s="398">
        <v>5</v>
      </c>
      <c r="H40" s="402">
        <v>163</v>
      </c>
      <c r="I40" s="403"/>
      <c r="J40" s="404"/>
      <c r="K40" s="405">
        <f t="shared" si="1"/>
        <v>815</v>
      </c>
    </row>
    <row r="41" spans="1:11" ht="25.5" x14ac:dyDescent="0.25">
      <c r="A41" s="285">
        <v>39</v>
      </c>
      <c r="B41" s="395" t="s">
        <v>352</v>
      </c>
      <c r="C41" s="396"/>
      <c r="D41" s="396"/>
      <c r="E41" s="396"/>
      <c r="F41" s="397"/>
      <c r="G41" s="398">
        <v>1</v>
      </c>
      <c r="H41" s="402">
        <v>180</v>
      </c>
      <c r="I41" s="403"/>
      <c r="J41" s="404"/>
      <c r="K41" s="405">
        <f t="shared" si="1"/>
        <v>180</v>
      </c>
    </row>
    <row r="42" spans="1:11" x14ac:dyDescent="0.25">
      <c r="A42" s="285">
        <v>40</v>
      </c>
      <c r="B42" s="395" t="s">
        <v>353</v>
      </c>
      <c r="C42" s="396"/>
      <c r="D42" s="396"/>
      <c r="E42" s="396"/>
      <c r="F42" s="397"/>
      <c r="G42" s="398">
        <v>4</v>
      </c>
      <c r="H42" s="402">
        <v>90</v>
      </c>
      <c r="I42" s="403"/>
      <c r="J42" s="404"/>
      <c r="K42" s="405">
        <f t="shared" si="1"/>
        <v>360</v>
      </c>
    </row>
    <row r="43" spans="1:11" ht="25.5" x14ac:dyDescent="0.25">
      <c r="A43" s="285">
        <v>41</v>
      </c>
      <c r="B43" s="395" t="s">
        <v>354</v>
      </c>
      <c r="C43" s="396"/>
      <c r="D43" s="396"/>
      <c r="E43" s="396"/>
      <c r="F43" s="397"/>
      <c r="G43" s="398">
        <v>730</v>
      </c>
      <c r="H43" s="402">
        <v>1</v>
      </c>
      <c r="I43" s="403"/>
      <c r="J43" s="404"/>
      <c r="K43" s="405">
        <f t="shared" si="1"/>
        <v>730</v>
      </c>
    </row>
    <row r="44" spans="1:11" ht="25.5" x14ac:dyDescent="0.25">
      <c r="A44" s="285">
        <v>42</v>
      </c>
      <c r="B44" s="395" t="s">
        <v>355</v>
      </c>
      <c r="C44" s="396"/>
      <c r="D44" s="396"/>
      <c r="E44" s="396"/>
      <c r="F44" s="397"/>
      <c r="G44" s="398">
        <v>900</v>
      </c>
      <c r="H44" s="402">
        <v>1.5</v>
      </c>
      <c r="I44" s="403"/>
      <c r="J44" s="404"/>
      <c r="K44" s="405">
        <f t="shared" si="1"/>
        <v>1350</v>
      </c>
    </row>
    <row r="45" spans="1:11" ht="25.5" x14ac:dyDescent="0.25">
      <c r="A45" s="285">
        <v>43</v>
      </c>
      <c r="B45" s="379" t="s">
        <v>356</v>
      </c>
      <c r="C45" s="380"/>
      <c r="D45" s="380"/>
      <c r="E45" s="380"/>
      <c r="F45" s="381"/>
      <c r="G45" s="368">
        <v>3</v>
      </c>
      <c r="H45" s="124">
        <v>200</v>
      </c>
      <c r="I45" s="357"/>
      <c r="J45" s="358"/>
      <c r="K45" s="378">
        <f t="shared" si="1"/>
        <v>600</v>
      </c>
    </row>
    <row r="46" spans="1:11" ht="25.5" x14ac:dyDescent="0.25">
      <c r="A46" s="285">
        <v>44</v>
      </c>
      <c r="B46" s="395" t="s">
        <v>357</v>
      </c>
      <c r="C46" s="396"/>
      <c r="D46" s="396"/>
      <c r="E46" s="396"/>
      <c r="F46" s="397"/>
      <c r="G46" s="398">
        <v>10</v>
      </c>
      <c r="H46" s="402">
        <v>279</v>
      </c>
      <c r="I46" s="403"/>
      <c r="J46" s="404"/>
      <c r="K46" s="405">
        <f t="shared" si="1"/>
        <v>2790</v>
      </c>
    </row>
    <row r="47" spans="1:11" ht="25.5" x14ac:dyDescent="0.25">
      <c r="A47" s="285">
        <v>45</v>
      </c>
      <c r="B47" s="395" t="s">
        <v>358</v>
      </c>
      <c r="C47" s="396"/>
      <c r="D47" s="396"/>
      <c r="E47" s="396"/>
      <c r="F47" s="397"/>
      <c r="G47" s="398">
        <v>20</v>
      </c>
      <c r="H47" s="402">
        <v>950</v>
      </c>
      <c r="I47" s="403"/>
      <c r="J47" s="404"/>
      <c r="K47" s="405">
        <f t="shared" si="1"/>
        <v>19000</v>
      </c>
    </row>
    <row r="48" spans="1:11" x14ac:dyDescent="0.25">
      <c r="A48" s="285">
        <v>46</v>
      </c>
      <c r="B48" s="379" t="s">
        <v>359</v>
      </c>
      <c r="C48" s="380"/>
      <c r="D48" s="380"/>
      <c r="E48" s="380"/>
      <c r="F48" s="381"/>
      <c r="G48" s="368">
        <v>1</v>
      </c>
      <c r="H48" s="124">
        <v>1430</v>
      </c>
      <c r="I48" s="357"/>
      <c r="J48" s="358"/>
      <c r="K48" s="378">
        <f t="shared" si="1"/>
        <v>1430</v>
      </c>
    </row>
    <row r="49" spans="1:11" x14ac:dyDescent="0.25">
      <c r="A49" s="285">
        <v>47</v>
      </c>
      <c r="B49" s="379" t="s">
        <v>360</v>
      </c>
      <c r="C49" s="380"/>
      <c r="D49" s="380"/>
      <c r="E49" s="380"/>
      <c r="F49" s="381"/>
      <c r="G49" s="368">
        <v>25</v>
      </c>
      <c r="H49" s="124">
        <v>55</v>
      </c>
      <c r="I49" s="357"/>
      <c r="J49" s="358"/>
      <c r="K49" s="378">
        <f t="shared" si="1"/>
        <v>1375</v>
      </c>
    </row>
    <row r="50" spans="1:11" ht="15" customHeight="1" x14ac:dyDescent="0.25">
      <c r="A50" s="285">
        <v>48</v>
      </c>
      <c r="B50" s="567" t="s">
        <v>204</v>
      </c>
      <c r="C50" s="567"/>
      <c r="D50" s="567"/>
      <c r="E50" s="567"/>
      <c r="F50" s="567"/>
      <c r="G50" s="406">
        <f>2521.22-21.6-500-31.28-730.2</f>
        <v>1238.1399999999999</v>
      </c>
      <c r="H50" s="407">
        <v>50</v>
      </c>
      <c r="I50" s="568">
        <f>G50*H50</f>
        <v>61906.999999999993</v>
      </c>
      <c r="J50" s="569"/>
      <c r="K50" s="569"/>
    </row>
    <row r="51" spans="1:11" ht="15" customHeight="1" x14ac:dyDescent="0.25">
      <c r="A51" s="285">
        <v>49</v>
      </c>
      <c r="B51" s="571" t="s">
        <v>361</v>
      </c>
      <c r="C51" s="571"/>
      <c r="D51" s="571"/>
      <c r="E51" s="571"/>
      <c r="F51" s="571"/>
      <c r="G51" s="377">
        <v>6</v>
      </c>
      <c r="H51" s="280">
        <v>2000</v>
      </c>
      <c r="I51" s="554">
        <f t="shared" si="0"/>
        <v>12000</v>
      </c>
      <c r="J51" s="555"/>
      <c r="K51" s="556"/>
    </row>
    <row r="52" spans="1:11" ht="15" customHeight="1" x14ac:dyDescent="0.25">
      <c r="A52" s="285">
        <v>50</v>
      </c>
      <c r="B52" s="572" t="s">
        <v>362</v>
      </c>
      <c r="C52" s="573"/>
      <c r="D52" s="573"/>
      <c r="E52" s="573"/>
      <c r="F52" s="574"/>
      <c r="G52" s="368">
        <v>2</v>
      </c>
      <c r="H52" s="124">
        <v>1500</v>
      </c>
      <c r="I52" s="575">
        <f t="shared" si="0"/>
        <v>3000</v>
      </c>
      <c r="J52" s="575"/>
      <c r="K52" s="575"/>
    </row>
    <row r="53" spans="1:11" ht="15" customHeight="1" x14ac:dyDescent="0.25">
      <c r="A53" s="285">
        <v>51</v>
      </c>
      <c r="B53" s="576" t="s">
        <v>363</v>
      </c>
      <c r="C53" s="577"/>
      <c r="D53" s="577"/>
      <c r="E53" s="577"/>
      <c r="F53" s="578"/>
      <c r="G53" s="368">
        <v>10</v>
      </c>
      <c r="H53" s="124">
        <v>900</v>
      </c>
      <c r="I53" s="575">
        <f t="shared" si="0"/>
        <v>9000</v>
      </c>
      <c r="J53" s="575"/>
      <c r="K53" s="575"/>
    </row>
    <row r="54" spans="1:11" ht="15" customHeight="1" x14ac:dyDescent="0.25">
      <c r="A54" s="285">
        <v>52</v>
      </c>
      <c r="B54" s="576" t="s">
        <v>364</v>
      </c>
      <c r="C54" s="577"/>
      <c r="D54" s="577"/>
      <c r="E54" s="577"/>
      <c r="F54" s="578"/>
      <c r="G54" s="368">
        <v>10</v>
      </c>
      <c r="H54" s="124">
        <v>700</v>
      </c>
      <c r="I54" s="575">
        <f t="shared" si="0"/>
        <v>7000</v>
      </c>
      <c r="J54" s="575"/>
      <c r="K54" s="575"/>
    </row>
    <row r="55" spans="1:11" ht="15" customHeight="1" x14ac:dyDescent="0.25">
      <c r="A55" s="285">
        <v>53</v>
      </c>
      <c r="B55" s="576" t="s">
        <v>365</v>
      </c>
      <c r="C55" s="577"/>
      <c r="D55" s="577"/>
      <c r="E55" s="577"/>
      <c r="F55" s="578"/>
      <c r="G55" s="368">
        <v>20</v>
      </c>
      <c r="H55" s="124">
        <v>350</v>
      </c>
      <c r="I55" s="575">
        <f t="shared" si="0"/>
        <v>7000</v>
      </c>
      <c r="J55" s="575"/>
      <c r="K55" s="575"/>
    </row>
    <row r="56" spans="1:11" ht="15" customHeight="1" x14ac:dyDescent="0.25">
      <c r="A56" s="285">
        <v>54</v>
      </c>
      <c r="B56" s="576" t="s">
        <v>366</v>
      </c>
      <c r="C56" s="577"/>
      <c r="D56" s="577"/>
      <c r="E56" s="577"/>
      <c r="F56" s="578"/>
      <c r="G56" s="368">
        <v>2</v>
      </c>
      <c r="H56" s="124">
        <v>1500</v>
      </c>
      <c r="I56" s="575">
        <f t="shared" si="0"/>
        <v>3000</v>
      </c>
      <c r="J56" s="575"/>
      <c r="K56" s="575"/>
    </row>
    <row r="57" spans="1:11" ht="15" customHeight="1" x14ac:dyDescent="0.25">
      <c r="A57" s="285">
        <v>55</v>
      </c>
      <c r="B57" s="576" t="s">
        <v>367</v>
      </c>
      <c r="C57" s="577"/>
      <c r="D57" s="577"/>
      <c r="E57" s="577"/>
      <c r="F57" s="578"/>
      <c r="G57" s="368">
        <v>2</v>
      </c>
      <c r="H57" s="124">
        <v>4800</v>
      </c>
      <c r="I57" s="575">
        <f t="shared" si="0"/>
        <v>9600</v>
      </c>
      <c r="J57" s="575"/>
      <c r="K57" s="575"/>
    </row>
    <row r="58" spans="1:11" ht="15" customHeight="1" x14ac:dyDescent="0.25">
      <c r="A58" s="285">
        <v>56</v>
      </c>
      <c r="B58" s="579" t="s">
        <v>368</v>
      </c>
      <c r="C58" s="579"/>
      <c r="D58" s="579"/>
      <c r="E58" s="579"/>
      <c r="F58" s="579"/>
      <c r="G58" s="342">
        <v>1</v>
      </c>
      <c r="H58" s="343">
        <v>6900</v>
      </c>
      <c r="I58" s="344"/>
      <c r="J58" s="344"/>
      <c r="K58" s="345">
        <f>G58*H58</f>
        <v>6900</v>
      </c>
    </row>
    <row r="59" spans="1:11" ht="15" customHeight="1" x14ac:dyDescent="0.25">
      <c r="A59" s="285">
        <v>57</v>
      </c>
      <c r="B59" s="579" t="s">
        <v>369</v>
      </c>
      <c r="C59" s="579"/>
      <c r="D59" s="579"/>
      <c r="E59" s="579"/>
      <c r="F59" s="579"/>
      <c r="G59" s="342">
        <v>4</v>
      </c>
      <c r="H59" s="343">
        <v>1560</v>
      </c>
      <c r="I59" s="344"/>
      <c r="J59" s="344"/>
      <c r="K59" s="345">
        <f t="shared" ref="K59:K111" si="2">G59*H59</f>
        <v>6240</v>
      </c>
    </row>
    <row r="60" spans="1:11" ht="15" customHeight="1" x14ac:dyDescent="0.25">
      <c r="A60" s="285">
        <v>58</v>
      </c>
      <c r="B60" s="579" t="s">
        <v>370</v>
      </c>
      <c r="C60" s="579"/>
      <c r="D60" s="579"/>
      <c r="E60" s="579"/>
      <c r="F60" s="579"/>
      <c r="G60" s="342">
        <v>16</v>
      </c>
      <c r="H60" s="343">
        <v>20</v>
      </c>
      <c r="I60" s="344"/>
      <c r="J60" s="344"/>
      <c r="K60" s="345">
        <f t="shared" si="2"/>
        <v>320</v>
      </c>
    </row>
    <row r="61" spans="1:11" ht="15" customHeight="1" x14ac:dyDescent="0.25">
      <c r="A61" s="285">
        <v>59</v>
      </c>
      <c r="B61" s="579" t="s">
        <v>371</v>
      </c>
      <c r="C61" s="579"/>
      <c r="D61" s="579"/>
      <c r="E61" s="579"/>
      <c r="F61" s="579"/>
      <c r="G61" s="342">
        <v>24</v>
      </c>
      <c r="H61" s="343">
        <v>12</v>
      </c>
      <c r="I61" s="344"/>
      <c r="J61" s="344"/>
      <c r="K61" s="345">
        <f t="shared" si="2"/>
        <v>288</v>
      </c>
    </row>
    <row r="62" spans="1:11" ht="15" customHeight="1" x14ac:dyDescent="0.25">
      <c r="A62" s="285">
        <v>60</v>
      </c>
      <c r="B62" s="579" t="s">
        <v>372</v>
      </c>
      <c r="C62" s="579"/>
      <c r="D62" s="579"/>
      <c r="E62" s="579"/>
      <c r="F62" s="579"/>
      <c r="G62" s="342">
        <v>8</v>
      </c>
      <c r="H62" s="343">
        <v>50</v>
      </c>
      <c r="I62" s="344"/>
      <c r="J62" s="344"/>
      <c r="K62" s="345">
        <f t="shared" si="2"/>
        <v>400</v>
      </c>
    </row>
    <row r="63" spans="1:11" ht="15" customHeight="1" x14ac:dyDescent="0.25">
      <c r="A63" s="285">
        <v>61</v>
      </c>
      <c r="B63" s="579" t="s">
        <v>373</v>
      </c>
      <c r="C63" s="579"/>
      <c r="D63" s="579"/>
      <c r="E63" s="579"/>
      <c r="F63" s="579"/>
      <c r="G63" s="342">
        <v>20</v>
      </c>
      <c r="H63" s="343">
        <v>36</v>
      </c>
      <c r="I63" s="344"/>
      <c r="J63" s="344"/>
      <c r="K63" s="345">
        <f t="shared" si="2"/>
        <v>720</v>
      </c>
    </row>
    <row r="64" spans="1:11" ht="15" customHeight="1" x14ac:dyDescent="0.25">
      <c r="A64" s="285">
        <v>62</v>
      </c>
      <c r="B64" s="579" t="s">
        <v>374</v>
      </c>
      <c r="C64" s="579"/>
      <c r="D64" s="579"/>
      <c r="E64" s="579"/>
      <c r="F64" s="579"/>
      <c r="G64" s="342">
        <v>20</v>
      </c>
      <c r="H64" s="343">
        <v>18</v>
      </c>
      <c r="I64" s="344"/>
      <c r="J64" s="344"/>
      <c r="K64" s="345">
        <f t="shared" si="2"/>
        <v>360</v>
      </c>
    </row>
    <row r="65" spans="1:11" ht="15" customHeight="1" x14ac:dyDescent="0.25">
      <c r="A65" s="285">
        <v>63</v>
      </c>
      <c r="B65" s="579" t="s">
        <v>375</v>
      </c>
      <c r="C65" s="579"/>
      <c r="D65" s="579"/>
      <c r="E65" s="579"/>
      <c r="F65" s="579"/>
      <c r="G65" s="342">
        <v>4</v>
      </c>
      <c r="H65" s="343">
        <v>875</v>
      </c>
      <c r="I65" s="344"/>
      <c r="J65" s="344"/>
      <c r="K65" s="345">
        <f t="shared" si="2"/>
        <v>3500</v>
      </c>
    </row>
    <row r="66" spans="1:11" ht="15" customHeight="1" x14ac:dyDescent="0.25">
      <c r="A66" s="285">
        <v>64</v>
      </c>
      <c r="B66" s="579" t="s">
        <v>376</v>
      </c>
      <c r="C66" s="579"/>
      <c r="D66" s="579"/>
      <c r="E66" s="579"/>
      <c r="F66" s="579"/>
      <c r="G66" s="342">
        <v>4</v>
      </c>
      <c r="H66" s="343">
        <v>672</v>
      </c>
      <c r="I66" s="344"/>
      <c r="J66" s="344"/>
      <c r="K66" s="345">
        <f t="shared" si="2"/>
        <v>2688</v>
      </c>
    </row>
    <row r="67" spans="1:11" ht="15" customHeight="1" x14ac:dyDescent="0.25">
      <c r="A67" s="285">
        <v>65</v>
      </c>
      <c r="B67" s="579" t="s">
        <v>377</v>
      </c>
      <c r="C67" s="579"/>
      <c r="D67" s="579"/>
      <c r="E67" s="579"/>
      <c r="F67" s="579"/>
      <c r="G67" s="342">
        <v>8</v>
      </c>
      <c r="H67" s="343">
        <v>10</v>
      </c>
      <c r="I67" s="344"/>
      <c r="J67" s="344"/>
      <c r="K67" s="345">
        <f t="shared" si="2"/>
        <v>80</v>
      </c>
    </row>
    <row r="68" spans="1:11" ht="15" customHeight="1" x14ac:dyDescent="0.25">
      <c r="A68" s="285">
        <v>66</v>
      </c>
      <c r="B68" s="579" t="s">
        <v>378</v>
      </c>
      <c r="C68" s="579"/>
      <c r="D68" s="579"/>
      <c r="E68" s="579"/>
      <c r="F68" s="579"/>
      <c r="G68" s="342">
        <v>1</v>
      </c>
      <c r="H68" s="343">
        <v>6377</v>
      </c>
      <c r="I68" s="344"/>
      <c r="J68" s="344"/>
      <c r="K68" s="345">
        <f t="shared" si="2"/>
        <v>6377</v>
      </c>
    </row>
    <row r="69" spans="1:11" ht="15" customHeight="1" x14ac:dyDescent="0.25">
      <c r="A69" s="285">
        <v>67</v>
      </c>
      <c r="B69" s="579" t="s">
        <v>379</v>
      </c>
      <c r="C69" s="579"/>
      <c r="D69" s="579"/>
      <c r="E69" s="579"/>
      <c r="F69" s="579"/>
      <c r="G69" s="342">
        <v>1</v>
      </c>
      <c r="H69" s="343">
        <v>1037</v>
      </c>
      <c r="I69" s="344"/>
      <c r="J69" s="344"/>
      <c r="K69" s="345">
        <f t="shared" si="2"/>
        <v>1037</v>
      </c>
    </row>
    <row r="70" spans="1:11" ht="15" customHeight="1" x14ac:dyDescent="0.25">
      <c r="A70" s="285">
        <v>68</v>
      </c>
      <c r="B70" s="579" t="s">
        <v>380</v>
      </c>
      <c r="C70" s="579"/>
      <c r="D70" s="579"/>
      <c r="E70" s="579"/>
      <c r="F70" s="579"/>
      <c r="G70" s="342">
        <v>4</v>
      </c>
      <c r="H70" s="343">
        <v>570</v>
      </c>
      <c r="I70" s="344"/>
      <c r="J70" s="344"/>
      <c r="K70" s="345">
        <f t="shared" si="2"/>
        <v>2280</v>
      </c>
    </row>
    <row r="71" spans="1:11" ht="15" customHeight="1" x14ac:dyDescent="0.25">
      <c r="A71" s="285">
        <v>69</v>
      </c>
      <c r="B71" s="579" t="s">
        <v>381</v>
      </c>
      <c r="C71" s="579"/>
      <c r="D71" s="579"/>
      <c r="E71" s="579"/>
      <c r="F71" s="579"/>
      <c r="G71" s="342">
        <v>1</v>
      </c>
      <c r="H71" s="343">
        <v>29</v>
      </c>
      <c r="I71" s="344"/>
      <c r="J71" s="344"/>
      <c r="K71" s="345">
        <f t="shared" si="2"/>
        <v>29</v>
      </c>
    </row>
    <row r="72" spans="1:11" ht="15" customHeight="1" x14ac:dyDescent="0.25">
      <c r="A72" s="285">
        <v>70</v>
      </c>
      <c r="B72" s="579" t="s">
        <v>382</v>
      </c>
      <c r="C72" s="579"/>
      <c r="D72" s="579"/>
      <c r="E72" s="579"/>
      <c r="F72" s="579"/>
      <c r="G72" s="342">
        <v>2</v>
      </c>
      <c r="H72" s="343">
        <v>450</v>
      </c>
      <c r="I72" s="344"/>
      <c r="J72" s="344"/>
      <c r="K72" s="345">
        <f t="shared" si="2"/>
        <v>900</v>
      </c>
    </row>
    <row r="73" spans="1:11" ht="15" customHeight="1" x14ac:dyDescent="0.25">
      <c r="A73" s="285">
        <v>71</v>
      </c>
      <c r="B73" s="579" t="s">
        <v>383</v>
      </c>
      <c r="C73" s="579"/>
      <c r="D73" s="579"/>
      <c r="E73" s="579"/>
      <c r="F73" s="579"/>
      <c r="G73" s="342">
        <v>6</v>
      </c>
      <c r="H73" s="343">
        <v>450</v>
      </c>
      <c r="I73" s="344"/>
      <c r="J73" s="344"/>
      <c r="K73" s="345">
        <f t="shared" si="2"/>
        <v>2700</v>
      </c>
    </row>
    <row r="74" spans="1:11" ht="15" customHeight="1" x14ac:dyDescent="0.25">
      <c r="A74" s="285">
        <v>72</v>
      </c>
      <c r="B74" s="579" t="s">
        <v>384</v>
      </c>
      <c r="C74" s="579"/>
      <c r="D74" s="579"/>
      <c r="E74" s="579"/>
      <c r="F74" s="579"/>
      <c r="G74" s="342">
        <v>1</v>
      </c>
      <c r="H74" s="343">
        <v>1920</v>
      </c>
      <c r="I74" s="344"/>
      <c r="J74" s="344"/>
      <c r="K74" s="345">
        <f t="shared" si="2"/>
        <v>1920</v>
      </c>
    </row>
    <row r="75" spans="1:11" ht="15" customHeight="1" x14ac:dyDescent="0.25">
      <c r="A75" s="285">
        <v>73</v>
      </c>
      <c r="B75" s="579" t="s">
        <v>385</v>
      </c>
      <c r="C75" s="579"/>
      <c r="D75" s="579"/>
      <c r="E75" s="579"/>
      <c r="F75" s="579"/>
      <c r="G75" s="342">
        <v>8</v>
      </c>
      <c r="H75" s="343">
        <v>592</v>
      </c>
      <c r="I75" s="344"/>
      <c r="J75" s="344"/>
      <c r="K75" s="345">
        <f t="shared" si="2"/>
        <v>4736</v>
      </c>
    </row>
    <row r="76" spans="1:11" ht="15" customHeight="1" x14ac:dyDescent="0.25">
      <c r="A76" s="285">
        <v>74</v>
      </c>
      <c r="B76" s="579" t="s">
        <v>386</v>
      </c>
      <c r="C76" s="579"/>
      <c r="D76" s="579"/>
      <c r="E76" s="579"/>
      <c r="F76" s="579"/>
      <c r="G76" s="342">
        <v>2</v>
      </c>
      <c r="H76" s="343">
        <v>1025</v>
      </c>
      <c r="I76" s="344"/>
      <c r="J76" s="344"/>
      <c r="K76" s="345">
        <f t="shared" si="2"/>
        <v>2050</v>
      </c>
    </row>
    <row r="77" spans="1:11" ht="15" customHeight="1" x14ac:dyDescent="0.25">
      <c r="A77" s="285">
        <v>75</v>
      </c>
      <c r="B77" s="579" t="s">
        <v>387</v>
      </c>
      <c r="C77" s="579"/>
      <c r="D77" s="579"/>
      <c r="E77" s="579"/>
      <c r="F77" s="579"/>
      <c r="G77" s="342">
        <v>10</v>
      </c>
      <c r="H77" s="343">
        <v>15</v>
      </c>
      <c r="I77" s="344"/>
      <c r="J77" s="344"/>
      <c r="K77" s="345">
        <f t="shared" si="2"/>
        <v>150</v>
      </c>
    </row>
    <row r="78" spans="1:11" ht="15" customHeight="1" x14ac:dyDescent="0.25">
      <c r="A78" s="285">
        <v>76</v>
      </c>
      <c r="B78" s="579" t="s">
        <v>388</v>
      </c>
      <c r="C78" s="579"/>
      <c r="D78" s="579"/>
      <c r="E78" s="579"/>
      <c r="F78" s="579"/>
      <c r="G78" s="342">
        <v>3</v>
      </c>
      <c r="H78" s="343">
        <v>467</v>
      </c>
      <c r="I78" s="344"/>
      <c r="J78" s="344"/>
      <c r="K78" s="345">
        <f t="shared" si="2"/>
        <v>1401</v>
      </c>
    </row>
    <row r="79" spans="1:11" ht="15" customHeight="1" x14ac:dyDescent="0.25">
      <c r="A79" s="285">
        <v>77</v>
      </c>
      <c r="B79" s="579" t="s">
        <v>389</v>
      </c>
      <c r="C79" s="579"/>
      <c r="D79" s="579"/>
      <c r="E79" s="579"/>
      <c r="F79" s="579"/>
      <c r="G79" s="342">
        <v>3</v>
      </c>
      <c r="H79" s="343">
        <v>285</v>
      </c>
      <c r="I79" s="344"/>
      <c r="J79" s="344"/>
      <c r="K79" s="345">
        <f t="shared" si="2"/>
        <v>855</v>
      </c>
    </row>
    <row r="80" spans="1:11" ht="15" customHeight="1" x14ac:dyDescent="0.25">
      <c r="A80" s="285">
        <v>78</v>
      </c>
      <c r="B80" s="579" t="s">
        <v>390</v>
      </c>
      <c r="C80" s="579"/>
      <c r="D80" s="579"/>
      <c r="E80" s="579"/>
      <c r="F80" s="579"/>
      <c r="G80" s="342">
        <v>1</v>
      </c>
      <c r="H80" s="343">
        <v>1260</v>
      </c>
      <c r="I80" s="344"/>
      <c r="J80" s="344"/>
      <c r="K80" s="345">
        <f t="shared" si="2"/>
        <v>1260</v>
      </c>
    </row>
    <row r="81" spans="1:11" ht="15" customHeight="1" x14ac:dyDescent="0.25">
      <c r="A81" s="285">
        <v>79</v>
      </c>
      <c r="B81" s="579" t="s">
        <v>391</v>
      </c>
      <c r="C81" s="579"/>
      <c r="D81" s="579"/>
      <c r="E81" s="579"/>
      <c r="F81" s="579"/>
      <c r="G81" s="342">
        <v>4</v>
      </c>
      <c r="H81" s="343">
        <v>191</v>
      </c>
      <c r="I81" s="344"/>
      <c r="J81" s="344"/>
      <c r="K81" s="345">
        <f t="shared" si="2"/>
        <v>764</v>
      </c>
    </row>
    <row r="82" spans="1:11" ht="15" customHeight="1" x14ac:dyDescent="0.25">
      <c r="A82" s="285">
        <v>80</v>
      </c>
      <c r="B82" s="579" t="s">
        <v>392</v>
      </c>
      <c r="C82" s="579"/>
      <c r="D82" s="579"/>
      <c r="E82" s="579"/>
      <c r="F82" s="579"/>
      <c r="G82" s="342">
        <v>2</v>
      </c>
      <c r="H82" s="343">
        <v>2845</v>
      </c>
      <c r="I82" s="344"/>
      <c r="J82" s="344"/>
      <c r="K82" s="345">
        <f t="shared" si="2"/>
        <v>5690</v>
      </c>
    </row>
    <row r="83" spans="1:11" ht="15" customHeight="1" x14ac:dyDescent="0.25">
      <c r="A83" s="285">
        <v>81</v>
      </c>
      <c r="B83" s="579" t="s">
        <v>393</v>
      </c>
      <c r="C83" s="579"/>
      <c r="D83" s="579"/>
      <c r="E83" s="579"/>
      <c r="F83" s="579"/>
      <c r="G83" s="342">
        <v>6</v>
      </c>
      <c r="H83" s="343">
        <v>405</v>
      </c>
      <c r="I83" s="344"/>
      <c r="J83" s="344"/>
      <c r="K83" s="345">
        <f t="shared" si="2"/>
        <v>2430</v>
      </c>
    </row>
    <row r="84" spans="1:11" ht="15" customHeight="1" x14ac:dyDescent="0.25">
      <c r="A84" s="285">
        <v>82</v>
      </c>
      <c r="B84" s="579" t="s">
        <v>394</v>
      </c>
      <c r="C84" s="579"/>
      <c r="D84" s="579"/>
      <c r="E84" s="579"/>
      <c r="F84" s="579"/>
      <c r="G84" s="342">
        <v>8</v>
      </c>
      <c r="H84" s="343">
        <v>288</v>
      </c>
      <c r="I84" s="344"/>
      <c r="J84" s="344"/>
      <c r="K84" s="345">
        <f t="shared" si="2"/>
        <v>2304</v>
      </c>
    </row>
    <row r="85" spans="1:11" ht="15" customHeight="1" x14ac:dyDescent="0.25">
      <c r="A85" s="285">
        <v>83</v>
      </c>
      <c r="B85" s="579" t="s">
        <v>395</v>
      </c>
      <c r="C85" s="579"/>
      <c r="D85" s="579"/>
      <c r="E85" s="579"/>
      <c r="F85" s="579"/>
      <c r="G85" s="342">
        <v>2</v>
      </c>
      <c r="H85" s="343">
        <v>198</v>
      </c>
      <c r="I85" s="344"/>
      <c r="J85" s="344"/>
      <c r="K85" s="345">
        <f t="shared" si="2"/>
        <v>396</v>
      </c>
    </row>
    <row r="86" spans="1:11" ht="15" customHeight="1" x14ac:dyDescent="0.25">
      <c r="A86" s="285">
        <v>84</v>
      </c>
      <c r="B86" s="579" t="s">
        <v>396</v>
      </c>
      <c r="C86" s="579"/>
      <c r="D86" s="579"/>
      <c r="E86" s="579"/>
      <c r="F86" s="579"/>
      <c r="G86" s="342">
        <v>24</v>
      </c>
      <c r="H86" s="343">
        <v>192</v>
      </c>
      <c r="I86" s="344"/>
      <c r="J86" s="344"/>
      <c r="K86" s="345">
        <f t="shared" si="2"/>
        <v>4608</v>
      </c>
    </row>
    <row r="87" spans="1:11" ht="15" customHeight="1" x14ac:dyDescent="0.25">
      <c r="A87" s="285">
        <v>85</v>
      </c>
      <c r="B87" s="579" t="s">
        <v>397</v>
      </c>
      <c r="C87" s="579"/>
      <c r="D87" s="579"/>
      <c r="E87" s="579"/>
      <c r="F87" s="579"/>
      <c r="G87" s="342">
        <v>2</v>
      </c>
      <c r="H87" s="343">
        <v>187</v>
      </c>
      <c r="I87" s="344"/>
      <c r="J87" s="344"/>
      <c r="K87" s="345">
        <f t="shared" si="2"/>
        <v>374</v>
      </c>
    </row>
    <row r="88" spans="1:11" ht="15" customHeight="1" x14ac:dyDescent="0.25">
      <c r="A88" s="285">
        <v>86</v>
      </c>
      <c r="B88" s="579" t="s">
        <v>398</v>
      </c>
      <c r="C88" s="579"/>
      <c r="D88" s="579"/>
      <c r="E88" s="579"/>
      <c r="F88" s="579"/>
      <c r="G88" s="342">
        <v>8</v>
      </c>
      <c r="H88" s="343">
        <v>175</v>
      </c>
      <c r="I88" s="344"/>
      <c r="J88" s="344"/>
      <c r="K88" s="345">
        <f t="shared" si="2"/>
        <v>1400</v>
      </c>
    </row>
    <row r="89" spans="1:11" ht="15" customHeight="1" x14ac:dyDescent="0.25">
      <c r="A89" s="285">
        <v>87</v>
      </c>
      <c r="B89" s="579" t="s">
        <v>399</v>
      </c>
      <c r="C89" s="579"/>
      <c r="D89" s="579"/>
      <c r="E89" s="579"/>
      <c r="F89" s="579"/>
      <c r="G89" s="342">
        <v>4</v>
      </c>
      <c r="H89" s="343">
        <v>59</v>
      </c>
      <c r="I89" s="344"/>
      <c r="J89" s="344"/>
      <c r="K89" s="345">
        <f t="shared" si="2"/>
        <v>236</v>
      </c>
    </row>
    <row r="90" spans="1:11" ht="15" customHeight="1" x14ac:dyDescent="0.25">
      <c r="A90" s="285">
        <v>88</v>
      </c>
      <c r="B90" s="579" t="s">
        <v>400</v>
      </c>
      <c r="C90" s="579"/>
      <c r="D90" s="579"/>
      <c r="E90" s="579"/>
      <c r="F90" s="579"/>
      <c r="G90" s="342">
        <v>8</v>
      </c>
      <c r="H90" s="343">
        <v>185</v>
      </c>
      <c r="I90" s="344"/>
      <c r="J90" s="344"/>
      <c r="K90" s="345">
        <f t="shared" si="2"/>
        <v>1480</v>
      </c>
    </row>
    <row r="91" spans="1:11" ht="15" customHeight="1" x14ac:dyDescent="0.25">
      <c r="A91" s="285">
        <v>89</v>
      </c>
      <c r="B91" s="579" t="s">
        <v>401</v>
      </c>
      <c r="C91" s="579"/>
      <c r="D91" s="579"/>
      <c r="E91" s="579"/>
      <c r="F91" s="579"/>
      <c r="G91" s="342">
        <v>1</v>
      </c>
      <c r="H91" s="343">
        <v>175</v>
      </c>
      <c r="I91" s="344"/>
      <c r="J91" s="344"/>
      <c r="K91" s="345">
        <f t="shared" si="2"/>
        <v>175</v>
      </c>
    </row>
    <row r="92" spans="1:11" ht="15" customHeight="1" x14ac:dyDescent="0.25">
      <c r="A92" s="285">
        <v>90</v>
      </c>
      <c r="B92" s="579" t="s">
        <v>402</v>
      </c>
      <c r="C92" s="579"/>
      <c r="D92" s="579"/>
      <c r="E92" s="579"/>
      <c r="F92" s="579"/>
      <c r="G92" s="342">
        <v>1</v>
      </c>
      <c r="H92" s="343">
        <v>1750</v>
      </c>
      <c r="I92" s="344"/>
      <c r="J92" s="344"/>
      <c r="K92" s="345">
        <f t="shared" si="2"/>
        <v>1750</v>
      </c>
    </row>
    <row r="93" spans="1:11" ht="15" customHeight="1" x14ac:dyDescent="0.25">
      <c r="A93" s="285">
        <v>91</v>
      </c>
      <c r="B93" s="579" t="s">
        <v>403</v>
      </c>
      <c r="C93" s="579"/>
      <c r="D93" s="579"/>
      <c r="E93" s="579"/>
      <c r="F93" s="579"/>
      <c r="G93" s="342">
        <v>1</v>
      </c>
      <c r="H93" s="343">
        <v>4460</v>
      </c>
      <c r="I93" s="344"/>
      <c r="J93" s="344"/>
      <c r="K93" s="345">
        <f t="shared" si="2"/>
        <v>4460</v>
      </c>
    </row>
    <row r="94" spans="1:11" ht="15" customHeight="1" x14ac:dyDescent="0.25">
      <c r="A94" s="285">
        <v>92</v>
      </c>
      <c r="B94" s="579" t="s">
        <v>404</v>
      </c>
      <c r="C94" s="579"/>
      <c r="D94" s="579"/>
      <c r="E94" s="579"/>
      <c r="F94" s="579"/>
      <c r="G94" s="342">
        <v>1</v>
      </c>
      <c r="H94" s="343">
        <v>8725</v>
      </c>
      <c r="I94" s="344"/>
      <c r="J94" s="344"/>
      <c r="K94" s="345">
        <f t="shared" si="2"/>
        <v>8725</v>
      </c>
    </row>
    <row r="95" spans="1:11" ht="15" customHeight="1" x14ac:dyDescent="0.25">
      <c r="A95" s="285">
        <v>93</v>
      </c>
      <c r="B95" s="579" t="s">
        <v>405</v>
      </c>
      <c r="C95" s="579"/>
      <c r="D95" s="579"/>
      <c r="E95" s="579"/>
      <c r="F95" s="579"/>
      <c r="G95" s="342">
        <v>2</v>
      </c>
      <c r="H95" s="343">
        <v>315</v>
      </c>
      <c r="I95" s="344"/>
      <c r="J95" s="344"/>
      <c r="K95" s="345">
        <f t="shared" si="2"/>
        <v>630</v>
      </c>
    </row>
    <row r="96" spans="1:11" ht="15" customHeight="1" x14ac:dyDescent="0.25">
      <c r="A96" s="285">
        <v>94</v>
      </c>
      <c r="B96" s="579" t="s">
        <v>406</v>
      </c>
      <c r="C96" s="579"/>
      <c r="D96" s="579"/>
      <c r="E96" s="579"/>
      <c r="F96" s="579"/>
      <c r="G96" s="342">
        <v>2</v>
      </c>
      <c r="H96" s="343">
        <v>234</v>
      </c>
      <c r="I96" s="344"/>
      <c r="J96" s="344"/>
      <c r="K96" s="345">
        <f t="shared" si="2"/>
        <v>468</v>
      </c>
    </row>
    <row r="97" spans="1:11" ht="15" customHeight="1" x14ac:dyDescent="0.25">
      <c r="A97" s="285">
        <v>95</v>
      </c>
      <c r="B97" s="579" t="s">
        <v>407</v>
      </c>
      <c r="C97" s="579"/>
      <c r="D97" s="579"/>
      <c r="E97" s="579"/>
      <c r="F97" s="579"/>
      <c r="G97" s="342">
        <v>1</v>
      </c>
      <c r="H97" s="343">
        <v>96</v>
      </c>
      <c r="I97" s="344"/>
      <c r="J97" s="344"/>
      <c r="K97" s="345">
        <f t="shared" si="2"/>
        <v>96</v>
      </c>
    </row>
    <row r="98" spans="1:11" ht="15" customHeight="1" x14ac:dyDescent="0.25">
      <c r="A98" s="285">
        <v>96</v>
      </c>
      <c r="B98" s="579" t="s">
        <v>408</v>
      </c>
      <c r="C98" s="579"/>
      <c r="D98" s="579"/>
      <c r="E98" s="579"/>
      <c r="F98" s="579"/>
      <c r="G98" s="342">
        <v>1</v>
      </c>
      <c r="H98" s="343">
        <v>1220</v>
      </c>
      <c r="I98" s="344"/>
      <c r="J98" s="344"/>
      <c r="K98" s="345">
        <f t="shared" si="2"/>
        <v>1220</v>
      </c>
    </row>
    <row r="99" spans="1:11" ht="15" customHeight="1" x14ac:dyDescent="0.25">
      <c r="A99" s="285">
        <v>97</v>
      </c>
      <c r="B99" s="579" t="s">
        <v>409</v>
      </c>
      <c r="C99" s="579"/>
      <c r="D99" s="579"/>
      <c r="E99" s="579"/>
      <c r="F99" s="579"/>
      <c r="G99" s="342">
        <v>4</v>
      </c>
      <c r="H99" s="343">
        <v>330</v>
      </c>
      <c r="I99" s="344"/>
      <c r="J99" s="344"/>
      <c r="K99" s="345">
        <f t="shared" si="2"/>
        <v>1320</v>
      </c>
    </row>
    <row r="100" spans="1:11" ht="15" customHeight="1" x14ac:dyDescent="0.25">
      <c r="A100" s="285">
        <v>98</v>
      </c>
      <c r="B100" s="579" t="s">
        <v>410</v>
      </c>
      <c r="C100" s="579"/>
      <c r="D100" s="579"/>
      <c r="E100" s="579"/>
      <c r="F100" s="579"/>
      <c r="G100" s="342">
        <v>4</v>
      </c>
      <c r="H100" s="343">
        <v>350</v>
      </c>
      <c r="I100" s="344"/>
      <c r="J100" s="344"/>
      <c r="K100" s="345">
        <f t="shared" si="2"/>
        <v>1400</v>
      </c>
    </row>
    <row r="101" spans="1:11" ht="15" customHeight="1" x14ac:dyDescent="0.25">
      <c r="A101" s="285">
        <v>99</v>
      </c>
      <c r="B101" s="579" t="s">
        <v>411</v>
      </c>
      <c r="C101" s="579"/>
      <c r="D101" s="579"/>
      <c r="E101" s="579"/>
      <c r="F101" s="579"/>
      <c r="G101" s="342">
        <v>4</v>
      </c>
      <c r="H101" s="343">
        <v>545</v>
      </c>
      <c r="I101" s="344"/>
      <c r="J101" s="344"/>
      <c r="K101" s="345">
        <f t="shared" si="2"/>
        <v>2180</v>
      </c>
    </row>
    <row r="102" spans="1:11" ht="15" customHeight="1" x14ac:dyDescent="0.25">
      <c r="A102" s="285">
        <v>100</v>
      </c>
      <c r="B102" s="579" t="s">
        <v>412</v>
      </c>
      <c r="C102" s="579"/>
      <c r="D102" s="579"/>
      <c r="E102" s="579"/>
      <c r="F102" s="579"/>
      <c r="G102" s="342">
        <v>1</v>
      </c>
      <c r="H102" s="343">
        <v>285</v>
      </c>
      <c r="I102" s="344"/>
      <c r="J102" s="344"/>
      <c r="K102" s="345">
        <f t="shared" si="2"/>
        <v>285</v>
      </c>
    </row>
    <row r="103" spans="1:11" ht="15" customHeight="1" x14ac:dyDescent="0.25">
      <c r="A103" s="285">
        <v>101</v>
      </c>
      <c r="B103" s="579" t="s">
        <v>413</v>
      </c>
      <c r="C103" s="579"/>
      <c r="D103" s="579"/>
      <c r="E103" s="579"/>
      <c r="F103" s="579"/>
      <c r="G103" s="342">
        <v>3</v>
      </c>
      <c r="H103" s="343">
        <v>106</v>
      </c>
      <c r="I103" s="344"/>
      <c r="J103" s="344"/>
      <c r="K103" s="345">
        <f t="shared" si="2"/>
        <v>318</v>
      </c>
    </row>
    <row r="104" spans="1:11" ht="15" customHeight="1" x14ac:dyDescent="0.25">
      <c r="A104" s="285">
        <v>102</v>
      </c>
      <c r="B104" s="579" t="s">
        <v>414</v>
      </c>
      <c r="C104" s="579"/>
      <c r="D104" s="579"/>
      <c r="E104" s="579"/>
      <c r="F104" s="579"/>
      <c r="G104" s="342">
        <v>4</v>
      </c>
      <c r="H104" s="343">
        <v>185</v>
      </c>
      <c r="I104" s="344"/>
      <c r="J104" s="344"/>
      <c r="K104" s="345">
        <f t="shared" si="2"/>
        <v>740</v>
      </c>
    </row>
    <row r="105" spans="1:11" ht="15" customHeight="1" x14ac:dyDescent="0.25">
      <c r="A105" s="285">
        <v>103</v>
      </c>
      <c r="B105" s="579" t="s">
        <v>415</v>
      </c>
      <c r="C105" s="579"/>
      <c r="D105" s="579"/>
      <c r="E105" s="579"/>
      <c r="F105" s="579"/>
      <c r="G105" s="342">
        <v>4</v>
      </c>
      <c r="H105" s="343">
        <v>216</v>
      </c>
      <c r="I105" s="344"/>
      <c r="J105" s="344"/>
      <c r="K105" s="345">
        <f t="shared" si="2"/>
        <v>864</v>
      </c>
    </row>
    <row r="106" spans="1:11" ht="15" customHeight="1" x14ac:dyDescent="0.25">
      <c r="A106" s="285">
        <v>104</v>
      </c>
      <c r="B106" s="579" t="s">
        <v>416</v>
      </c>
      <c r="C106" s="579"/>
      <c r="D106" s="579"/>
      <c r="E106" s="579"/>
      <c r="F106" s="579"/>
      <c r="G106" s="342">
        <v>20</v>
      </c>
      <c r="H106" s="343">
        <v>21</v>
      </c>
      <c r="I106" s="344"/>
      <c r="J106" s="344"/>
      <c r="K106" s="345">
        <f t="shared" si="2"/>
        <v>420</v>
      </c>
    </row>
    <row r="107" spans="1:11" ht="15" customHeight="1" x14ac:dyDescent="0.25">
      <c r="A107" s="285">
        <v>105</v>
      </c>
      <c r="B107" s="579" t="s">
        <v>417</v>
      </c>
      <c r="C107" s="579"/>
      <c r="D107" s="579"/>
      <c r="E107" s="579"/>
      <c r="F107" s="579"/>
      <c r="G107" s="342">
        <v>2</v>
      </c>
      <c r="H107" s="343">
        <v>357</v>
      </c>
      <c r="I107" s="344"/>
      <c r="J107" s="344"/>
      <c r="K107" s="345">
        <f t="shared" si="2"/>
        <v>714</v>
      </c>
    </row>
    <row r="108" spans="1:11" ht="15" customHeight="1" x14ac:dyDescent="0.25">
      <c r="A108" s="285">
        <v>106</v>
      </c>
      <c r="B108" s="580" t="s">
        <v>418</v>
      </c>
      <c r="C108" s="581"/>
      <c r="D108" s="581"/>
      <c r="E108" s="581"/>
      <c r="F108" s="582"/>
      <c r="G108" s="408">
        <v>1</v>
      </c>
      <c r="H108" s="409">
        <v>280</v>
      </c>
      <c r="I108" s="410"/>
      <c r="J108" s="410"/>
      <c r="K108" s="411">
        <f t="shared" si="2"/>
        <v>280</v>
      </c>
    </row>
    <row r="109" spans="1:11" x14ac:dyDescent="0.25">
      <c r="A109" s="285">
        <v>107</v>
      </c>
      <c r="B109" s="586" t="s">
        <v>419</v>
      </c>
      <c r="C109" s="587"/>
      <c r="D109" s="587"/>
      <c r="E109" s="587"/>
      <c r="F109" s="588"/>
      <c r="G109" s="342">
        <v>1</v>
      </c>
      <c r="H109" s="343">
        <v>50</v>
      </c>
      <c r="I109" s="346"/>
      <c r="J109" s="346"/>
      <c r="K109" s="345">
        <f t="shared" si="2"/>
        <v>50</v>
      </c>
    </row>
    <row r="110" spans="1:11" ht="15" customHeight="1" x14ac:dyDescent="0.25">
      <c r="A110" s="285">
        <v>108</v>
      </c>
      <c r="B110" s="586" t="s">
        <v>420</v>
      </c>
      <c r="C110" s="587"/>
      <c r="D110" s="587"/>
      <c r="E110" s="587"/>
      <c r="F110" s="588"/>
      <c r="G110" s="342">
        <v>4</v>
      </c>
      <c r="H110" s="343">
        <v>70</v>
      </c>
      <c r="I110" s="346"/>
      <c r="J110" s="346"/>
      <c r="K110" s="345">
        <f t="shared" si="2"/>
        <v>280</v>
      </c>
    </row>
    <row r="111" spans="1:11" ht="15" customHeight="1" x14ac:dyDescent="0.25">
      <c r="A111" s="285">
        <v>109</v>
      </c>
      <c r="B111" s="586" t="s">
        <v>421</v>
      </c>
      <c r="C111" s="587"/>
      <c r="D111" s="587"/>
      <c r="E111" s="587"/>
      <c r="F111" s="588"/>
      <c r="G111" s="342">
        <v>1</v>
      </c>
      <c r="H111" s="343">
        <v>5</v>
      </c>
      <c r="I111" s="346"/>
      <c r="J111" s="346"/>
      <c r="K111" s="345">
        <f t="shared" si="2"/>
        <v>5</v>
      </c>
    </row>
    <row r="112" spans="1:11" ht="15" customHeight="1" x14ac:dyDescent="0.25">
      <c r="A112" s="285">
        <v>110</v>
      </c>
      <c r="B112" s="586" t="s">
        <v>422</v>
      </c>
      <c r="C112" s="587"/>
      <c r="D112" s="587"/>
      <c r="E112" s="587"/>
      <c r="F112" s="588"/>
      <c r="G112" s="342">
        <v>10</v>
      </c>
      <c r="H112" s="343">
        <v>7</v>
      </c>
      <c r="I112" s="589">
        <f>G112*H112</f>
        <v>70</v>
      </c>
      <c r="J112" s="590"/>
      <c r="K112" s="591"/>
    </row>
    <row r="113" spans="1:11" ht="15" customHeight="1" x14ac:dyDescent="0.25">
      <c r="A113" s="285">
        <v>111</v>
      </c>
      <c r="B113" s="583" t="s">
        <v>423</v>
      </c>
      <c r="C113" s="583"/>
      <c r="D113" s="583"/>
      <c r="E113" s="583"/>
      <c r="F113" s="583"/>
      <c r="G113" s="408">
        <v>200</v>
      </c>
      <c r="H113" s="409">
        <v>0.4</v>
      </c>
      <c r="I113" s="584">
        <f>G113*H113</f>
        <v>80</v>
      </c>
      <c r="J113" s="584"/>
      <c r="K113" s="585"/>
    </row>
    <row r="114" spans="1:11" ht="15" customHeight="1" x14ac:dyDescent="0.25">
      <c r="A114" s="285">
        <v>112</v>
      </c>
      <c r="B114" s="550" t="s">
        <v>448</v>
      </c>
      <c r="C114" s="550"/>
      <c r="D114" s="550"/>
      <c r="E114" s="550"/>
      <c r="F114" s="550"/>
      <c r="G114" s="412">
        <v>5</v>
      </c>
      <c r="H114" s="412">
        <v>175</v>
      </c>
      <c r="I114" s="374"/>
      <c r="J114" s="374"/>
      <c r="K114" s="375">
        <f>G114*H114</f>
        <v>875</v>
      </c>
    </row>
    <row r="115" spans="1:11" ht="15.75" x14ac:dyDescent="0.25">
      <c r="B115" s="550" t="s">
        <v>449</v>
      </c>
      <c r="C115" s="550"/>
      <c r="D115" s="550"/>
      <c r="E115" s="550"/>
      <c r="F115" s="550"/>
      <c r="G115" s="412">
        <v>5</v>
      </c>
      <c r="H115" s="412">
        <v>53</v>
      </c>
      <c r="I115" s="374"/>
      <c r="J115" s="374"/>
      <c r="K115" s="375">
        <f t="shared" ref="K115:K178" si="3">G115*H115</f>
        <v>265</v>
      </c>
    </row>
    <row r="116" spans="1:11" ht="15.75" x14ac:dyDescent="0.25">
      <c r="B116" s="550" t="s">
        <v>450</v>
      </c>
      <c r="C116" s="550"/>
      <c r="D116" s="550"/>
      <c r="E116" s="550"/>
      <c r="F116" s="550"/>
      <c r="G116" s="412">
        <v>15</v>
      </c>
      <c r="H116" s="412">
        <v>60</v>
      </c>
      <c r="I116" s="374"/>
      <c r="J116" s="374"/>
      <c r="K116" s="375">
        <f t="shared" si="3"/>
        <v>900</v>
      </c>
    </row>
    <row r="117" spans="1:11" ht="15.75" x14ac:dyDescent="0.25">
      <c r="B117" s="550" t="s">
        <v>451</v>
      </c>
      <c r="C117" s="550"/>
      <c r="D117" s="550"/>
      <c r="E117" s="550"/>
      <c r="F117" s="550"/>
      <c r="G117" s="412">
        <v>1</v>
      </c>
      <c r="H117" s="412">
        <v>132</v>
      </c>
      <c r="I117" s="374"/>
      <c r="J117" s="374"/>
      <c r="K117" s="375">
        <f t="shared" si="3"/>
        <v>132</v>
      </c>
    </row>
    <row r="118" spans="1:11" ht="15.75" x14ac:dyDescent="0.25">
      <c r="B118" s="550" t="s">
        <v>452</v>
      </c>
      <c r="C118" s="550"/>
      <c r="D118" s="550"/>
      <c r="E118" s="550"/>
      <c r="F118" s="550"/>
      <c r="G118" s="412">
        <v>1</v>
      </c>
      <c r="H118" s="412">
        <v>255</v>
      </c>
      <c r="I118" s="374"/>
      <c r="J118" s="374"/>
      <c r="K118" s="375">
        <f t="shared" si="3"/>
        <v>255</v>
      </c>
    </row>
    <row r="119" spans="1:11" ht="15.75" x14ac:dyDescent="0.25">
      <c r="B119" s="550" t="s">
        <v>453</v>
      </c>
      <c r="C119" s="550"/>
      <c r="D119" s="550"/>
      <c r="E119" s="550"/>
      <c r="F119" s="550"/>
      <c r="G119" s="412">
        <v>1</v>
      </c>
      <c r="H119" s="412">
        <v>55</v>
      </c>
      <c r="I119" s="374"/>
      <c r="J119" s="374"/>
      <c r="K119" s="375">
        <f t="shared" si="3"/>
        <v>55</v>
      </c>
    </row>
    <row r="120" spans="1:11" ht="15.75" x14ac:dyDescent="0.25">
      <c r="B120" s="550" t="s">
        <v>454</v>
      </c>
      <c r="C120" s="550"/>
      <c r="D120" s="550"/>
      <c r="E120" s="550"/>
      <c r="F120" s="550"/>
      <c r="G120" s="412">
        <v>2</v>
      </c>
      <c r="H120" s="412">
        <v>220</v>
      </c>
      <c r="I120" s="374"/>
      <c r="J120" s="374"/>
      <c r="K120" s="375">
        <f t="shared" si="3"/>
        <v>440</v>
      </c>
    </row>
    <row r="121" spans="1:11" ht="15.75" x14ac:dyDescent="0.25">
      <c r="B121" s="550" t="s">
        <v>455</v>
      </c>
      <c r="C121" s="550"/>
      <c r="D121" s="550"/>
      <c r="E121" s="550"/>
      <c r="F121" s="550"/>
      <c r="G121" s="412">
        <v>5</v>
      </c>
      <c r="H121" s="412">
        <v>115</v>
      </c>
      <c r="I121" s="374"/>
      <c r="J121" s="374"/>
      <c r="K121" s="375">
        <f t="shared" si="3"/>
        <v>575</v>
      </c>
    </row>
    <row r="122" spans="1:11" ht="15.75" x14ac:dyDescent="0.25">
      <c r="B122" s="550" t="s">
        <v>456</v>
      </c>
      <c r="C122" s="550"/>
      <c r="D122" s="550"/>
      <c r="E122" s="550"/>
      <c r="F122" s="550"/>
      <c r="G122" s="412">
        <v>5</v>
      </c>
      <c r="H122" s="412">
        <v>70</v>
      </c>
      <c r="I122" s="374"/>
      <c r="J122" s="374"/>
      <c r="K122" s="375">
        <f t="shared" si="3"/>
        <v>350</v>
      </c>
    </row>
    <row r="123" spans="1:11" ht="15.75" x14ac:dyDescent="0.25">
      <c r="B123" s="550" t="s">
        <v>457</v>
      </c>
      <c r="C123" s="550"/>
      <c r="D123" s="550"/>
      <c r="E123" s="550"/>
      <c r="F123" s="550"/>
      <c r="G123" s="412">
        <v>5</v>
      </c>
      <c r="H123" s="412">
        <v>170</v>
      </c>
      <c r="I123" s="374"/>
      <c r="J123" s="374"/>
      <c r="K123" s="375">
        <f t="shared" si="3"/>
        <v>850</v>
      </c>
    </row>
    <row r="124" spans="1:11" ht="15.75" x14ac:dyDescent="0.25">
      <c r="B124" s="550" t="s">
        <v>458</v>
      </c>
      <c r="C124" s="550"/>
      <c r="D124" s="550"/>
      <c r="E124" s="550"/>
      <c r="F124" s="550"/>
      <c r="G124" s="412">
        <v>5</v>
      </c>
      <c r="H124" s="412">
        <v>95</v>
      </c>
      <c r="I124" s="374"/>
      <c r="J124" s="374"/>
      <c r="K124" s="375">
        <f t="shared" si="3"/>
        <v>475</v>
      </c>
    </row>
    <row r="125" spans="1:11" ht="15.75" x14ac:dyDescent="0.25">
      <c r="B125" s="550" t="s">
        <v>459</v>
      </c>
      <c r="C125" s="550"/>
      <c r="D125" s="550"/>
      <c r="E125" s="550"/>
      <c r="F125" s="550"/>
      <c r="G125" s="412">
        <v>2</v>
      </c>
      <c r="H125" s="412">
        <v>30</v>
      </c>
      <c r="I125" s="374"/>
      <c r="J125" s="374"/>
      <c r="K125" s="375">
        <f t="shared" si="3"/>
        <v>60</v>
      </c>
    </row>
    <row r="126" spans="1:11" ht="15.75" x14ac:dyDescent="0.25">
      <c r="B126" s="550" t="s">
        <v>290</v>
      </c>
      <c r="C126" s="550"/>
      <c r="D126" s="550"/>
      <c r="E126" s="550"/>
      <c r="F126" s="550"/>
      <c r="G126" s="412">
        <v>5</v>
      </c>
      <c r="H126" s="412">
        <v>60</v>
      </c>
      <c r="I126" s="374"/>
      <c r="J126" s="374"/>
      <c r="K126" s="375">
        <f t="shared" si="3"/>
        <v>300</v>
      </c>
    </row>
    <row r="127" spans="1:11" ht="15.75" x14ac:dyDescent="0.25">
      <c r="B127" s="550" t="s">
        <v>460</v>
      </c>
      <c r="C127" s="550"/>
      <c r="D127" s="550"/>
      <c r="E127" s="550"/>
      <c r="F127" s="550"/>
      <c r="G127" s="412">
        <v>2</v>
      </c>
      <c r="H127" s="412">
        <v>90</v>
      </c>
      <c r="I127" s="374"/>
      <c r="J127" s="374"/>
      <c r="K127" s="375">
        <f t="shared" si="3"/>
        <v>180</v>
      </c>
    </row>
    <row r="128" spans="1:11" ht="15.75" x14ac:dyDescent="0.25">
      <c r="B128" s="550" t="s">
        <v>451</v>
      </c>
      <c r="C128" s="550"/>
      <c r="D128" s="550"/>
      <c r="E128" s="550"/>
      <c r="F128" s="550"/>
      <c r="G128" s="412">
        <v>5</v>
      </c>
      <c r="H128" s="412">
        <v>45</v>
      </c>
      <c r="I128" s="374"/>
      <c r="J128" s="374"/>
      <c r="K128" s="375">
        <f t="shared" si="3"/>
        <v>225</v>
      </c>
    </row>
    <row r="129" spans="2:11" ht="15.75" x14ac:dyDescent="0.25">
      <c r="B129" s="550" t="s">
        <v>461</v>
      </c>
      <c r="C129" s="550"/>
      <c r="D129" s="550"/>
      <c r="E129" s="550"/>
      <c r="F129" s="550"/>
      <c r="G129" s="412">
        <v>10</v>
      </c>
      <c r="H129" s="412">
        <v>90</v>
      </c>
      <c r="I129" s="374"/>
      <c r="J129" s="374"/>
      <c r="K129" s="375">
        <f t="shared" si="3"/>
        <v>900</v>
      </c>
    </row>
    <row r="130" spans="2:11" ht="15.75" x14ac:dyDescent="0.25">
      <c r="B130" s="550" t="s">
        <v>462</v>
      </c>
      <c r="C130" s="550"/>
      <c r="D130" s="550"/>
      <c r="E130" s="550"/>
      <c r="F130" s="550"/>
      <c r="G130" s="412">
        <v>5</v>
      </c>
      <c r="H130" s="412">
        <v>100</v>
      </c>
      <c r="I130" s="374"/>
      <c r="J130" s="374"/>
      <c r="K130" s="375">
        <f t="shared" si="3"/>
        <v>500</v>
      </c>
    </row>
    <row r="131" spans="2:11" ht="15.75" x14ac:dyDescent="0.25">
      <c r="B131" s="550" t="s">
        <v>463</v>
      </c>
      <c r="C131" s="550"/>
      <c r="D131" s="550"/>
      <c r="E131" s="550"/>
      <c r="F131" s="550"/>
      <c r="G131" s="412">
        <v>10</v>
      </c>
      <c r="H131" s="412">
        <v>50</v>
      </c>
      <c r="I131" s="374"/>
      <c r="J131" s="374"/>
      <c r="K131" s="375">
        <f t="shared" si="3"/>
        <v>500</v>
      </c>
    </row>
    <row r="132" spans="2:11" ht="15.75" x14ac:dyDescent="0.25">
      <c r="B132" s="550" t="s">
        <v>464</v>
      </c>
      <c r="C132" s="550"/>
      <c r="D132" s="550"/>
      <c r="E132" s="550"/>
      <c r="F132" s="550"/>
      <c r="G132" s="412">
        <v>48</v>
      </c>
      <c r="H132" s="412">
        <v>18</v>
      </c>
      <c r="I132" s="374"/>
      <c r="J132" s="374"/>
      <c r="K132" s="375">
        <f t="shared" si="3"/>
        <v>864</v>
      </c>
    </row>
    <row r="133" spans="2:11" ht="15.75" x14ac:dyDescent="0.25">
      <c r="B133" s="550" t="s">
        <v>465</v>
      </c>
      <c r="C133" s="550"/>
      <c r="D133" s="550"/>
      <c r="E133" s="550"/>
      <c r="F133" s="550"/>
      <c r="G133" s="412">
        <v>5</v>
      </c>
      <c r="H133" s="412">
        <v>30</v>
      </c>
      <c r="I133" s="374"/>
      <c r="J133" s="374"/>
      <c r="K133" s="375">
        <f t="shared" si="3"/>
        <v>150</v>
      </c>
    </row>
    <row r="134" spans="2:11" ht="15.75" x14ac:dyDescent="0.25">
      <c r="B134" s="550" t="s">
        <v>466</v>
      </c>
      <c r="C134" s="550"/>
      <c r="D134" s="550"/>
      <c r="E134" s="550"/>
      <c r="F134" s="550"/>
      <c r="G134" s="412">
        <v>3</v>
      </c>
      <c r="H134" s="412">
        <v>5</v>
      </c>
      <c r="I134" s="374"/>
      <c r="J134" s="374"/>
      <c r="K134" s="375">
        <f t="shared" si="3"/>
        <v>15</v>
      </c>
    </row>
    <row r="135" spans="2:11" ht="15.75" x14ac:dyDescent="0.25">
      <c r="B135" s="550" t="s">
        <v>467</v>
      </c>
      <c r="C135" s="550"/>
      <c r="D135" s="550"/>
      <c r="E135" s="550"/>
      <c r="F135" s="550"/>
      <c r="G135" s="412">
        <v>5</v>
      </c>
      <c r="H135" s="412">
        <v>260</v>
      </c>
      <c r="I135" s="374"/>
      <c r="J135" s="374"/>
      <c r="K135" s="375">
        <f t="shared" si="3"/>
        <v>1300</v>
      </c>
    </row>
    <row r="136" spans="2:11" ht="15.75" x14ac:dyDescent="0.25">
      <c r="B136" s="550" t="s">
        <v>468</v>
      </c>
      <c r="C136" s="550"/>
      <c r="D136" s="550"/>
      <c r="E136" s="550"/>
      <c r="F136" s="550"/>
      <c r="G136" s="412">
        <v>3</v>
      </c>
      <c r="H136" s="412">
        <v>55</v>
      </c>
      <c r="I136" s="374"/>
      <c r="J136" s="374"/>
      <c r="K136" s="375">
        <f t="shared" si="3"/>
        <v>165</v>
      </c>
    </row>
    <row r="137" spans="2:11" ht="15.75" x14ac:dyDescent="0.25">
      <c r="B137" s="550" t="s">
        <v>469</v>
      </c>
      <c r="C137" s="550"/>
      <c r="D137" s="550"/>
      <c r="E137" s="550"/>
      <c r="F137" s="550"/>
      <c r="G137" s="412">
        <v>2</v>
      </c>
      <c r="H137" s="412">
        <v>70</v>
      </c>
      <c r="I137" s="374"/>
      <c r="J137" s="374"/>
      <c r="K137" s="375">
        <f t="shared" si="3"/>
        <v>140</v>
      </c>
    </row>
    <row r="138" spans="2:11" ht="15.75" x14ac:dyDescent="0.25">
      <c r="B138" s="550" t="s">
        <v>470</v>
      </c>
      <c r="C138" s="550"/>
      <c r="D138" s="550"/>
      <c r="E138" s="550"/>
      <c r="F138" s="550"/>
      <c r="G138" s="412">
        <v>3</v>
      </c>
      <c r="H138" s="412">
        <v>80</v>
      </c>
      <c r="I138" s="374"/>
      <c r="J138" s="374"/>
      <c r="K138" s="375">
        <f t="shared" si="3"/>
        <v>240</v>
      </c>
    </row>
    <row r="139" spans="2:11" ht="15.75" x14ac:dyDescent="0.25">
      <c r="B139" s="550" t="s">
        <v>471</v>
      </c>
      <c r="C139" s="550"/>
      <c r="D139" s="550"/>
      <c r="E139" s="550"/>
      <c r="F139" s="550"/>
      <c r="G139" s="412">
        <v>10</v>
      </c>
      <c r="H139" s="412">
        <v>60</v>
      </c>
      <c r="I139" s="374"/>
      <c r="J139" s="374"/>
      <c r="K139" s="375">
        <f t="shared" si="3"/>
        <v>600</v>
      </c>
    </row>
    <row r="140" spans="2:11" ht="15.75" x14ac:dyDescent="0.25">
      <c r="B140" s="550" t="s">
        <v>472</v>
      </c>
      <c r="C140" s="550"/>
      <c r="D140" s="550"/>
      <c r="E140" s="550"/>
      <c r="F140" s="550"/>
      <c r="G140" s="412">
        <v>10</v>
      </c>
      <c r="H140" s="412">
        <v>30</v>
      </c>
      <c r="I140" s="374"/>
      <c r="J140" s="374"/>
      <c r="K140" s="375">
        <f t="shared" si="3"/>
        <v>300</v>
      </c>
    </row>
    <row r="141" spans="2:11" ht="15.75" x14ac:dyDescent="0.25">
      <c r="B141" s="550" t="s">
        <v>472</v>
      </c>
      <c r="C141" s="550"/>
      <c r="D141" s="550"/>
      <c r="E141" s="550"/>
      <c r="F141" s="550"/>
      <c r="G141" s="412">
        <v>5</v>
      </c>
      <c r="H141" s="412">
        <v>70</v>
      </c>
      <c r="I141" s="374"/>
      <c r="J141" s="374"/>
      <c r="K141" s="375">
        <f t="shared" si="3"/>
        <v>350</v>
      </c>
    </row>
    <row r="142" spans="2:11" ht="15.75" x14ac:dyDescent="0.25">
      <c r="B142" s="550" t="s">
        <v>473</v>
      </c>
      <c r="C142" s="550"/>
      <c r="D142" s="550"/>
      <c r="E142" s="550"/>
      <c r="F142" s="550"/>
      <c r="G142" s="412">
        <v>1</v>
      </c>
      <c r="H142" s="412">
        <v>180</v>
      </c>
      <c r="I142" s="374"/>
      <c r="J142" s="374"/>
      <c r="K142" s="375">
        <f t="shared" si="3"/>
        <v>180</v>
      </c>
    </row>
    <row r="143" spans="2:11" ht="15.75" x14ac:dyDescent="0.25">
      <c r="B143" s="550" t="s">
        <v>474</v>
      </c>
      <c r="C143" s="550"/>
      <c r="D143" s="550"/>
      <c r="E143" s="550"/>
      <c r="F143" s="550"/>
      <c r="G143" s="412">
        <v>1</v>
      </c>
      <c r="H143" s="412">
        <v>340</v>
      </c>
      <c r="I143" s="374"/>
      <c r="J143" s="374"/>
      <c r="K143" s="375">
        <f t="shared" si="3"/>
        <v>340</v>
      </c>
    </row>
    <row r="144" spans="2:11" ht="15.75" x14ac:dyDescent="0.25">
      <c r="B144" s="550" t="s">
        <v>475</v>
      </c>
      <c r="C144" s="550"/>
      <c r="D144" s="550"/>
      <c r="E144" s="550"/>
      <c r="F144" s="550"/>
      <c r="G144" s="412">
        <v>3</v>
      </c>
      <c r="H144" s="412">
        <v>210</v>
      </c>
      <c r="I144" s="374"/>
      <c r="J144" s="374"/>
      <c r="K144" s="375">
        <f t="shared" si="3"/>
        <v>630</v>
      </c>
    </row>
    <row r="145" spans="2:11" ht="15.75" x14ac:dyDescent="0.25">
      <c r="B145" s="550" t="s">
        <v>476</v>
      </c>
      <c r="C145" s="550"/>
      <c r="D145" s="550"/>
      <c r="E145" s="550"/>
      <c r="F145" s="550"/>
      <c r="G145" s="412">
        <v>20</v>
      </c>
      <c r="H145" s="412">
        <v>20</v>
      </c>
      <c r="I145" s="374"/>
      <c r="J145" s="374"/>
      <c r="K145" s="375">
        <f t="shared" si="3"/>
        <v>400</v>
      </c>
    </row>
    <row r="146" spans="2:11" ht="15.75" x14ac:dyDescent="0.25">
      <c r="B146" s="550" t="s">
        <v>477</v>
      </c>
      <c r="C146" s="550"/>
      <c r="D146" s="550"/>
      <c r="E146" s="550"/>
      <c r="F146" s="550"/>
      <c r="G146" s="412">
        <v>10</v>
      </c>
      <c r="H146" s="412">
        <v>50</v>
      </c>
      <c r="I146" s="374"/>
      <c r="J146" s="374"/>
      <c r="K146" s="375">
        <f t="shared" si="3"/>
        <v>500</v>
      </c>
    </row>
    <row r="147" spans="2:11" ht="15.75" x14ac:dyDescent="0.25">
      <c r="B147" s="550" t="s">
        <v>478</v>
      </c>
      <c r="C147" s="550"/>
      <c r="D147" s="550"/>
      <c r="E147" s="550"/>
      <c r="F147" s="550"/>
      <c r="G147" s="412">
        <v>3</v>
      </c>
      <c r="H147" s="412">
        <v>110</v>
      </c>
      <c r="I147" s="374"/>
      <c r="J147" s="374"/>
      <c r="K147" s="375">
        <f t="shared" si="3"/>
        <v>330</v>
      </c>
    </row>
    <row r="148" spans="2:11" ht="15.75" x14ac:dyDescent="0.25">
      <c r="B148" s="550" t="s">
        <v>479</v>
      </c>
      <c r="C148" s="550"/>
      <c r="D148" s="550"/>
      <c r="E148" s="550"/>
      <c r="F148" s="550"/>
      <c r="G148" s="412">
        <v>1</v>
      </c>
      <c r="H148" s="412">
        <v>140</v>
      </c>
      <c r="I148" s="374"/>
      <c r="J148" s="374"/>
      <c r="K148" s="375">
        <f t="shared" si="3"/>
        <v>140</v>
      </c>
    </row>
    <row r="149" spans="2:11" ht="15.75" x14ac:dyDescent="0.25">
      <c r="B149" s="550" t="s">
        <v>480</v>
      </c>
      <c r="C149" s="550"/>
      <c r="D149" s="550"/>
      <c r="E149" s="550"/>
      <c r="F149" s="550"/>
      <c r="G149" s="412">
        <v>10</v>
      </c>
      <c r="H149" s="412">
        <v>40</v>
      </c>
      <c r="I149" s="374"/>
      <c r="J149" s="374"/>
      <c r="K149" s="375">
        <f t="shared" si="3"/>
        <v>400</v>
      </c>
    </row>
    <row r="150" spans="2:11" ht="15.75" x14ac:dyDescent="0.25">
      <c r="B150" s="550" t="s">
        <v>481</v>
      </c>
      <c r="C150" s="550"/>
      <c r="D150" s="550"/>
      <c r="E150" s="550"/>
      <c r="F150" s="550"/>
      <c r="G150" s="412">
        <v>2</v>
      </c>
      <c r="H150" s="412">
        <v>70</v>
      </c>
      <c r="I150" s="374"/>
      <c r="J150" s="374"/>
      <c r="K150" s="375">
        <f t="shared" si="3"/>
        <v>140</v>
      </c>
    </row>
    <row r="151" spans="2:11" ht="15.75" x14ac:dyDescent="0.25">
      <c r="B151" s="550" t="s">
        <v>482</v>
      </c>
      <c r="C151" s="550"/>
      <c r="D151" s="550"/>
      <c r="E151" s="550"/>
      <c r="F151" s="550"/>
      <c r="G151" s="412">
        <v>5</v>
      </c>
      <c r="H151" s="412">
        <v>30</v>
      </c>
      <c r="I151" s="374"/>
      <c r="J151" s="374"/>
      <c r="K151" s="375">
        <f t="shared" si="3"/>
        <v>150</v>
      </c>
    </row>
    <row r="152" spans="2:11" ht="15.75" x14ac:dyDescent="0.25">
      <c r="B152" s="550" t="s">
        <v>483</v>
      </c>
      <c r="C152" s="550"/>
      <c r="D152" s="550"/>
      <c r="E152" s="550"/>
      <c r="F152" s="550"/>
      <c r="G152" s="412">
        <v>4</v>
      </c>
      <c r="H152" s="412">
        <v>20</v>
      </c>
      <c r="I152" s="374"/>
      <c r="J152" s="374"/>
      <c r="K152" s="375">
        <f t="shared" si="3"/>
        <v>80</v>
      </c>
    </row>
    <row r="153" spans="2:11" ht="15.75" x14ac:dyDescent="0.25">
      <c r="B153" s="550" t="s">
        <v>484</v>
      </c>
      <c r="C153" s="550"/>
      <c r="D153" s="550"/>
      <c r="E153" s="550"/>
      <c r="F153" s="550"/>
      <c r="G153" s="412">
        <v>1</v>
      </c>
      <c r="H153" s="412">
        <v>80</v>
      </c>
      <c r="I153" s="374"/>
      <c r="J153" s="374"/>
      <c r="K153" s="375">
        <f t="shared" si="3"/>
        <v>80</v>
      </c>
    </row>
    <row r="154" spans="2:11" ht="15.75" x14ac:dyDescent="0.25">
      <c r="B154" s="550" t="s">
        <v>485</v>
      </c>
      <c r="C154" s="550"/>
      <c r="D154" s="550"/>
      <c r="E154" s="550"/>
      <c r="F154" s="550"/>
      <c r="G154" s="412">
        <v>8</v>
      </c>
      <c r="H154" s="412">
        <v>35</v>
      </c>
      <c r="I154" s="374"/>
      <c r="J154" s="374"/>
      <c r="K154" s="375">
        <f t="shared" si="3"/>
        <v>280</v>
      </c>
    </row>
    <row r="155" spans="2:11" ht="15.75" x14ac:dyDescent="0.25">
      <c r="B155" s="550" t="s">
        <v>486</v>
      </c>
      <c r="C155" s="550"/>
      <c r="D155" s="550"/>
      <c r="E155" s="550"/>
      <c r="F155" s="550"/>
      <c r="G155" s="412">
        <v>1</v>
      </c>
      <c r="H155" s="412">
        <v>290</v>
      </c>
      <c r="I155" s="374"/>
      <c r="J155" s="374"/>
      <c r="K155" s="375">
        <f t="shared" si="3"/>
        <v>290</v>
      </c>
    </row>
    <row r="156" spans="2:11" ht="15.75" x14ac:dyDescent="0.25">
      <c r="B156" s="550" t="s">
        <v>487</v>
      </c>
      <c r="C156" s="550"/>
      <c r="D156" s="550"/>
      <c r="E156" s="550"/>
      <c r="F156" s="550"/>
      <c r="G156" s="412">
        <v>4</v>
      </c>
      <c r="H156" s="412">
        <v>50</v>
      </c>
      <c r="I156" s="374"/>
      <c r="J156" s="374"/>
      <c r="K156" s="375">
        <f t="shared" si="3"/>
        <v>200</v>
      </c>
    </row>
    <row r="157" spans="2:11" ht="15.75" x14ac:dyDescent="0.25">
      <c r="B157" s="550" t="s">
        <v>488</v>
      </c>
      <c r="C157" s="550"/>
      <c r="D157" s="550"/>
      <c r="E157" s="550"/>
      <c r="F157" s="550"/>
      <c r="G157" s="412">
        <v>2</v>
      </c>
      <c r="H157" s="412">
        <v>120</v>
      </c>
      <c r="I157" s="374"/>
      <c r="J157" s="374"/>
      <c r="K157" s="375">
        <f t="shared" si="3"/>
        <v>240</v>
      </c>
    </row>
    <row r="158" spans="2:11" ht="15.75" x14ac:dyDescent="0.25">
      <c r="B158" s="550" t="s">
        <v>489</v>
      </c>
      <c r="C158" s="550"/>
      <c r="D158" s="550"/>
      <c r="E158" s="550"/>
      <c r="F158" s="550"/>
      <c r="G158" s="412">
        <v>9</v>
      </c>
      <c r="H158" s="412">
        <v>40</v>
      </c>
      <c r="I158" s="374"/>
      <c r="J158" s="374"/>
      <c r="K158" s="375">
        <f t="shared" si="3"/>
        <v>360</v>
      </c>
    </row>
    <row r="159" spans="2:11" ht="15.75" x14ac:dyDescent="0.25">
      <c r="B159" s="550" t="s">
        <v>490</v>
      </c>
      <c r="C159" s="550"/>
      <c r="D159" s="550"/>
      <c r="E159" s="550"/>
      <c r="F159" s="550"/>
      <c r="G159" s="412">
        <v>5</v>
      </c>
      <c r="H159" s="412">
        <v>60</v>
      </c>
      <c r="I159" s="374"/>
      <c r="J159" s="374"/>
      <c r="K159" s="375">
        <f t="shared" si="3"/>
        <v>300</v>
      </c>
    </row>
    <row r="160" spans="2:11" ht="15.75" x14ac:dyDescent="0.25">
      <c r="B160" s="550" t="s">
        <v>491</v>
      </c>
      <c r="C160" s="550"/>
      <c r="D160" s="550"/>
      <c r="E160" s="550"/>
      <c r="F160" s="550"/>
      <c r="G160" s="412">
        <v>1</v>
      </c>
      <c r="H160" s="412">
        <v>100</v>
      </c>
      <c r="I160" s="374"/>
      <c r="J160" s="374"/>
      <c r="K160" s="375">
        <f t="shared" si="3"/>
        <v>100</v>
      </c>
    </row>
    <row r="161" spans="2:11" ht="15.75" x14ac:dyDescent="0.25">
      <c r="B161" s="550" t="s">
        <v>492</v>
      </c>
      <c r="C161" s="550"/>
      <c r="D161" s="550"/>
      <c r="E161" s="550"/>
      <c r="F161" s="550"/>
      <c r="G161" s="412">
        <v>1</v>
      </c>
      <c r="H161" s="412">
        <v>140</v>
      </c>
      <c r="I161" s="374"/>
      <c r="J161" s="374"/>
      <c r="K161" s="375">
        <f t="shared" si="3"/>
        <v>140</v>
      </c>
    </row>
    <row r="162" spans="2:11" ht="15.75" x14ac:dyDescent="0.25">
      <c r="B162" s="550" t="s">
        <v>493</v>
      </c>
      <c r="C162" s="550"/>
      <c r="D162" s="550"/>
      <c r="E162" s="550"/>
      <c r="F162" s="550"/>
      <c r="G162" s="412">
        <v>10</v>
      </c>
      <c r="H162" s="412">
        <v>15</v>
      </c>
      <c r="I162" s="374"/>
      <c r="J162" s="374"/>
      <c r="K162" s="375">
        <f t="shared" si="3"/>
        <v>150</v>
      </c>
    </row>
    <row r="163" spans="2:11" ht="15.75" x14ac:dyDescent="0.25">
      <c r="B163" s="550" t="s">
        <v>494</v>
      </c>
      <c r="C163" s="550"/>
      <c r="D163" s="550"/>
      <c r="E163" s="550"/>
      <c r="F163" s="550"/>
      <c r="G163" s="412">
        <v>10</v>
      </c>
      <c r="H163" s="412">
        <v>20</v>
      </c>
      <c r="I163" s="374"/>
      <c r="J163" s="374"/>
      <c r="K163" s="375">
        <f t="shared" si="3"/>
        <v>200</v>
      </c>
    </row>
    <row r="164" spans="2:11" ht="15.75" x14ac:dyDescent="0.25">
      <c r="B164" s="550" t="s">
        <v>495</v>
      </c>
      <c r="C164" s="550"/>
      <c r="D164" s="550"/>
      <c r="E164" s="550"/>
      <c r="F164" s="550"/>
      <c r="G164" s="412">
        <v>2</v>
      </c>
      <c r="H164" s="412">
        <v>80</v>
      </c>
      <c r="I164" s="374"/>
      <c r="J164" s="374"/>
      <c r="K164" s="375">
        <f t="shared" si="3"/>
        <v>160</v>
      </c>
    </row>
    <row r="165" spans="2:11" ht="15.75" x14ac:dyDescent="0.25">
      <c r="B165" s="550" t="s">
        <v>496</v>
      </c>
      <c r="C165" s="550"/>
      <c r="D165" s="550"/>
      <c r="E165" s="550"/>
      <c r="F165" s="550"/>
      <c r="G165" s="412">
        <v>2</v>
      </c>
      <c r="H165" s="412">
        <v>50</v>
      </c>
      <c r="I165" s="374"/>
      <c r="J165" s="374"/>
      <c r="K165" s="375">
        <f t="shared" si="3"/>
        <v>100</v>
      </c>
    </row>
    <row r="166" spans="2:11" ht="15.75" x14ac:dyDescent="0.25">
      <c r="B166" s="550" t="s">
        <v>497</v>
      </c>
      <c r="C166" s="550"/>
      <c r="D166" s="550"/>
      <c r="E166" s="550"/>
      <c r="F166" s="550"/>
      <c r="G166" s="412">
        <v>5</v>
      </c>
      <c r="H166" s="412">
        <v>15</v>
      </c>
      <c r="I166" s="374"/>
      <c r="J166" s="374"/>
      <c r="K166" s="375">
        <f t="shared" si="3"/>
        <v>75</v>
      </c>
    </row>
    <row r="167" spans="2:11" ht="15.75" x14ac:dyDescent="0.25">
      <c r="B167" s="550" t="s">
        <v>498</v>
      </c>
      <c r="C167" s="550"/>
      <c r="D167" s="550"/>
      <c r="E167" s="550"/>
      <c r="F167" s="550"/>
      <c r="G167" s="412">
        <v>12</v>
      </c>
      <c r="H167" s="412">
        <v>50</v>
      </c>
      <c r="I167" s="374"/>
      <c r="J167" s="374"/>
      <c r="K167" s="375">
        <f t="shared" si="3"/>
        <v>600</v>
      </c>
    </row>
    <row r="168" spans="2:11" ht="15.75" x14ac:dyDescent="0.25">
      <c r="B168" s="550" t="s">
        <v>499</v>
      </c>
      <c r="C168" s="550"/>
      <c r="D168" s="550"/>
      <c r="E168" s="550"/>
      <c r="F168" s="550"/>
      <c r="G168" s="412">
        <v>1</v>
      </c>
      <c r="H168" s="412">
        <v>210</v>
      </c>
      <c r="I168" s="374"/>
      <c r="J168" s="374"/>
      <c r="K168" s="375">
        <f t="shared" si="3"/>
        <v>210</v>
      </c>
    </row>
    <row r="169" spans="2:11" ht="15.75" x14ac:dyDescent="0.25">
      <c r="B169" s="550" t="s">
        <v>500</v>
      </c>
      <c r="C169" s="550"/>
      <c r="D169" s="550"/>
      <c r="E169" s="550"/>
      <c r="F169" s="550"/>
      <c r="G169" s="412">
        <v>1</v>
      </c>
      <c r="H169" s="412">
        <v>60</v>
      </c>
      <c r="I169" s="374"/>
      <c r="J169" s="374"/>
      <c r="K169" s="375">
        <f t="shared" si="3"/>
        <v>60</v>
      </c>
    </row>
    <row r="170" spans="2:11" ht="15.75" x14ac:dyDescent="0.25">
      <c r="B170" s="550" t="s">
        <v>501</v>
      </c>
      <c r="C170" s="550"/>
      <c r="D170" s="550"/>
      <c r="E170" s="550"/>
      <c r="F170" s="550"/>
      <c r="G170" s="412">
        <v>4</v>
      </c>
      <c r="H170" s="412">
        <v>190</v>
      </c>
      <c r="I170" s="374"/>
      <c r="J170" s="374"/>
      <c r="K170" s="375">
        <f t="shared" si="3"/>
        <v>760</v>
      </c>
    </row>
    <row r="171" spans="2:11" ht="15.75" x14ac:dyDescent="0.25">
      <c r="B171" s="550" t="s">
        <v>502</v>
      </c>
      <c r="C171" s="550"/>
      <c r="D171" s="550"/>
      <c r="E171" s="550"/>
      <c r="F171" s="550"/>
      <c r="G171" s="412">
        <v>1</v>
      </c>
      <c r="H171" s="412">
        <v>320</v>
      </c>
      <c r="I171" s="374"/>
      <c r="J171" s="374"/>
      <c r="K171" s="375">
        <f t="shared" si="3"/>
        <v>320</v>
      </c>
    </row>
    <row r="172" spans="2:11" ht="15.75" x14ac:dyDescent="0.25">
      <c r="B172" s="550" t="s">
        <v>503</v>
      </c>
      <c r="C172" s="550"/>
      <c r="D172" s="550"/>
      <c r="E172" s="550"/>
      <c r="F172" s="550"/>
      <c r="G172" s="412">
        <v>10</v>
      </c>
      <c r="H172" s="412">
        <v>20</v>
      </c>
      <c r="I172" s="374"/>
      <c r="J172" s="374"/>
      <c r="K172" s="375">
        <f t="shared" si="3"/>
        <v>200</v>
      </c>
    </row>
    <row r="173" spans="2:11" ht="15.75" x14ac:dyDescent="0.25">
      <c r="B173" s="550" t="s">
        <v>504</v>
      </c>
      <c r="C173" s="550"/>
      <c r="D173" s="550"/>
      <c r="E173" s="550"/>
      <c r="F173" s="550"/>
      <c r="G173" s="412">
        <v>1</v>
      </c>
      <c r="H173" s="412">
        <v>20</v>
      </c>
      <c r="I173" s="374"/>
      <c r="J173" s="374"/>
      <c r="K173" s="375">
        <f t="shared" si="3"/>
        <v>20</v>
      </c>
    </row>
    <row r="174" spans="2:11" ht="15.75" x14ac:dyDescent="0.25">
      <c r="B174" s="550" t="s">
        <v>505</v>
      </c>
      <c r="C174" s="550"/>
      <c r="D174" s="550"/>
      <c r="E174" s="550"/>
      <c r="F174" s="550"/>
      <c r="G174" s="412">
        <v>5</v>
      </c>
      <c r="H174" s="412">
        <v>110</v>
      </c>
      <c r="I174" s="374"/>
      <c r="J174" s="374"/>
      <c r="K174" s="375">
        <f t="shared" si="3"/>
        <v>550</v>
      </c>
    </row>
    <row r="175" spans="2:11" ht="15.75" x14ac:dyDescent="0.25">
      <c r="B175" s="550" t="s">
        <v>506</v>
      </c>
      <c r="C175" s="550"/>
      <c r="D175" s="550"/>
      <c r="E175" s="550"/>
      <c r="F175" s="550"/>
      <c r="G175" s="412">
        <v>3</v>
      </c>
      <c r="H175" s="412">
        <v>450</v>
      </c>
      <c r="I175" s="374"/>
      <c r="J175" s="374"/>
      <c r="K175" s="375">
        <f t="shared" si="3"/>
        <v>1350</v>
      </c>
    </row>
    <row r="176" spans="2:11" ht="15.75" x14ac:dyDescent="0.25">
      <c r="B176" s="550" t="s">
        <v>507</v>
      </c>
      <c r="C176" s="550"/>
      <c r="D176" s="550"/>
      <c r="E176" s="550"/>
      <c r="F176" s="550"/>
      <c r="G176" s="412">
        <v>4</v>
      </c>
      <c r="H176" s="412">
        <v>100</v>
      </c>
      <c r="I176" s="374"/>
      <c r="J176" s="374"/>
      <c r="K176" s="375">
        <f t="shared" si="3"/>
        <v>400</v>
      </c>
    </row>
    <row r="177" spans="2:11" ht="15.75" x14ac:dyDescent="0.25">
      <c r="B177" s="550" t="s">
        <v>508</v>
      </c>
      <c r="C177" s="550"/>
      <c r="D177" s="550"/>
      <c r="E177" s="550"/>
      <c r="F177" s="550"/>
      <c r="G177" s="412">
        <v>30</v>
      </c>
      <c r="H177" s="412">
        <v>310</v>
      </c>
      <c r="I177" s="374"/>
      <c r="J177" s="374"/>
      <c r="K177" s="375">
        <f t="shared" si="3"/>
        <v>9300</v>
      </c>
    </row>
    <row r="178" spans="2:11" ht="15.75" x14ac:dyDescent="0.25">
      <c r="B178" s="550" t="s">
        <v>509</v>
      </c>
      <c r="C178" s="550"/>
      <c r="D178" s="550"/>
      <c r="E178" s="550"/>
      <c r="F178" s="550"/>
      <c r="G178" s="412">
        <v>1</v>
      </c>
      <c r="H178" s="413">
        <v>45</v>
      </c>
      <c r="I178" s="414"/>
      <c r="J178" s="414"/>
      <c r="K178" s="415">
        <f t="shared" si="3"/>
        <v>45</v>
      </c>
    </row>
    <row r="179" spans="2:11" ht="15.75" x14ac:dyDescent="0.25">
      <c r="B179" s="550" t="s">
        <v>510</v>
      </c>
      <c r="C179" s="550"/>
      <c r="D179" s="550"/>
      <c r="E179" s="550"/>
      <c r="F179" s="550"/>
      <c r="G179" s="412">
        <v>1</v>
      </c>
      <c r="H179" s="413">
        <v>595</v>
      </c>
      <c r="I179" s="414"/>
      <c r="J179" s="414"/>
      <c r="K179" s="415">
        <f t="shared" ref="K179:K180" si="4">G179*H179</f>
        <v>595</v>
      </c>
    </row>
    <row r="180" spans="2:11" ht="15.75" x14ac:dyDescent="0.25">
      <c r="B180" s="549" t="s">
        <v>511</v>
      </c>
      <c r="C180" s="549"/>
      <c r="D180" s="549"/>
      <c r="E180" s="549"/>
      <c r="F180" s="549"/>
      <c r="G180" s="413">
        <v>1</v>
      </c>
      <c r="H180" s="413">
        <v>175</v>
      </c>
      <c r="I180" s="414"/>
      <c r="J180" s="414"/>
      <c r="K180" s="415">
        <f t="shared" si="4"/>
        <v>175</v>
      </c>
    </row>
    <row r="181" spans="2:11" ht="15.75" x14ac:dyDescent="0.25">
      <c r="B181" s="550" t="s">
        <v>512</v>
      </c>
      <c r="C181" s="550"/>
      <c r="D181" s="550"/>
      <c r="E181" s="550"/>
      <c r="F181" s="550"/>
      <c r="G181" s="412">
        <v>2</v>
      </c>
      <c r="H181" s="412">
        <v>80</v>
      </c>
      <c r="I181" s="589">
        <f>G181*H181</f>
        <v>160</v>
      </c>
      <c r="J181" s="590"/>
      <c r="K181" s="591"/>
    </row>
    <row r="182" spans="2:11" ht="15.75" x14ac:dyDescent="0.25">
      <c r="B182" s="550" t="s">
        <v>513</v>
      </c>
      <c r="C182" s="550"/>
      <c r="D182" s="550"/>
      <c r="E182" s="550"/>
      <c r="F182" s="550"/>
      <c r="G182" s="412">
        <v>10</v>
      </c>
      <c r="H182" s="412">
        <v>15</v>
      </c>
      <c r="I182" s="700">
        <f>G182*H182</f>
        <v>150</v>
      </c>
      <c r="J182" s="701"/>
      <c r="K182" s="702"/>
    </row>
    <row r="183" spans="2:11" ht="15.75" x14ac:dyDescent="0.25">
      <c r="B183" s="550" t="s">
        <v>534</v>
      </c>
      <c r="C183" s="550"/>
      <c r="D183" s="550"/>
      <c r="E183" s="550"/>
      <c r="F183" s="550"/>
      <c r="G183" s="412">
        <v>1</v>
      </c>
      <c r="H183" s="412">
        <v>25000</v>
      </c>
      <c r="I183" s="589">
        <f>G183*H183</f>
        <v>25000</v>
      </c>
      <c r="J183" s="590"/>
      <c r="K183" s="591"/>
    </row>
    <row r="184" spans="2:11" ht="15.75" x14ac:dyDescent="0.25">
      <c r="B184" s="550" t="s">
        <v>535</v>
      </c>
      <c r="C184" s="550"/>
      <c r="D184" s="550"/>
      <c r="E184" s="550"/>
      <c r="F184" s="550"/>
      <c r="G184" s="412">
        <v>3</v>
      </c>
      <c r="H184" s="412">
        <v>70</v>
      </c>
      <c r="I184" s="589">
        <f t="shared" ref="I184:I190" si="5">G184*H184</f>
        <v>210</v>
      </c>
      <c r="J184" s="590"/>
      <c r="K184" s="591"/>
    </row>
    <row r="185" spans="2:11" ht="15.75" x14ac:dyDescent="0.25">
      <c r="B185" s="550" t="s">
        <v>536</v>
      </c>
      <c r="C185" s="550"/>
      <c r="D185" s="550"/>
      <c r="E185" s="550"/>
      <c r="F185" s="550"/>
      <c r="G185" s="412">
        <v>2</v>
      </c>
      <c r="H185" s="412">
        <v>134</v>
      </c>
      <c r="I185" s="589">
        <f t="shared" si="5"/>
        <v>268</v>
      </c>
      <c r="J185" s="590"/>
      <c r="K185" s="591"/>
    </row>
    <row r="186" spans="2:11" ht="15.75" x14ac:dyDescent="0.25">
      <c r="B186" s="550" t="s">
        <v>537</v>
      </c>
      <c r="C186" s="550"/>
      <c r="D186" s="550"/>
      <c r="E186" s="550"/>
      <c r="F186" s="550"/>
      <c r="G186" s="412">
        <v>2</v>
      </c>
      <c r="H186" s="412">
        <v>142</v>
      </c>
      <c r="I186" s="589">
        <f t="shared" si="5"/>
        <v>284</v>
      </c>
      <c r="J186" s="590"/>
      <c r="K186" s="591"/>
    </row>
    <row r="187" spans="2:11" ht="15.75" x14ac:dyDescent="0.25">
      <c r="B187" s="550" t="s">
        <v>538</v>
      </c>
      <c r="C187" s="550"/>
      <c r="D187" s="550"/>
      <c r="E187" s="550"/>
      <c r="F187" s="550"/>
      <c r="G187" s="412">
        <v>5</v>
      </c>
      <c r="H187" s="412">
        <v>62</v>
      </c>
      <c r="I187" s="589">
        <f t="shared" si="5"/>
        <v>310</v>
      </c>
      <c r="J187" s="590"/>
      <c r="K187" s="591"/>
    </row>
    <row r="188" spans="2:11" ht="15.75" x14ac:dyDescent="0.25">
      <c r="B188" s="550" t="s">
        <v>539</v>
      </c>
      <c r="C188" s="550"/>
      <c r="D188" s="550"/>
      <c r="E188" s="550"/>
      <c r="F188" s="550"/>
      <c r="G188" s="412">
        <v>2</v>
      </c>
      <c r="H188" s="412">
        <v>50</v>
      </c>
      <c r="I188" s="589">
        <f t="shared" si="5"/>
        <v>100</v>
      </c>
      <c r="J188" s="590"/>
      <c r="K188" s="591"/>
    </row>
    <row r="189" spans="2:11" ht="15.75" x14ac:dyDescent="0.25">
      <c r="B189" s="550" t="s">
        <v>540</v>
      </c>
      <c r="C189" s="550"/>
      <c r="D189" s="550"/>
      <c r="E189" s="550"/>
      <c r="F189" s="550"/>
      <c r="G189" s="412">
        <v>20</v>
      </c>
      <c r="H189" s="412">
        <v>0.3</v>
      </c>
      <c r="I189" s="589">
        <f t="shared" si="5"/>
        <v>6</v>
      </c>
      <c r="J189" s="590"/>
      <c r="K189" s="590"/>
    </row>
    <row r="190" spans="2:11" ht="15.75" x14ac:dyDescent="0.25">
      <c r="B190" s="550" t="s">
        <v>330</v>
      </c>
      <c r="C190" s="550"/>
      <c r="D190" s="550"/>
      <c r="E190" s="550"/>
      <c r="F190" s="550"/>
      <c r="G190" s="412">
        <v>2</v>
      </c>
      <c r="H190" s="412">
        <v>193</v>
      </c>
      <c r="I190" s="589">
        <f t="shared" si="5"/>
        <v>386</v>
      </c>
      <c r="J190" s="590"/>
      <c r="K190" s="590"/>
    </row>
    <row r="191" spans="2:11" ht="15.75" x14ac:dyDescent="0.25">
      <c r="B191" s="550" t="s">
        <v>541</v>
      </c>
      <c r="C191" s="550"/>
      <c r="D191" s="550"/>
      <c r="E191" s="550"/>
      <c r="F191" s="550"/>
      <c r="G191" s="412">
        <v>22</v>
      </c>
      <c r="H191" s="412">
        <v>190</v>
      </c>
      <c r="I191" s="703"/>
      <c r="J191" s="703"/>
      <c r="K191" s="703">
        <f>G191*H191</f>
        <v>4180</v>
      </c>
    </row>
    <row r="192" spans="2:11" ht="15.75" x14ac:dyDescent="0.25">
      <c r="B192" s="550" t="s">
        <v>542</v>
      </c>
      <c r="C192" s="550"/>
      <c r="D192" s="550"/>
      <c r="E192" s="550"/>
      <c r="F192" s="550"/>
      <c r="G192" s="412">
        <v>1</v>
      </c>
      <c r="H192" s="412">
        <v>8330</v>
      </c>
      <c r="I192" s="703"/>
      <c r="J192" s="703"/>
      <c r="K192" s="703">
        <f t="shared" ref="K192:K200" si="6">G192*H192</f>
        <v>8330</v>
      </c>
    </row>
    <row r="193" spans="2:11" ht="15.75" x14ac:dyDescent="0.25">
      <c r="B193" s="550" t="s">
        <v>543</v>
      </c>
      <c r="C193" s="550"/>
      <c r="D193" s="550"/>
      <c r="E193" s="550"/>
      <c r="F193" s="550"/>
      <c r="G193" s="412">
        <v>3</v>
      </c>
      <c r="H193" s="412">
        <v>2570</v>
      </c>
      <c r="I193" s="703"/>
      <c r="J193" s="703"/>
      <c r="K193" s="703">
        <f t="shared" si="6"/>
        <v>7710</v>
      </c>
    </row>
    <row r="194" spans="2:11" ht="15.75" x14ac:dyDescent="0.25">
      <c r="B194" s="550" t="s">
        <v>544</v>
      </c>
      <c r="C194" s="550"/>
      <c r="D194" s="550"/>
      <c r="E194" s="550"/>
      <c r="F194" s="550"/>
      <c r="G194" s="412">
        <v>2</v>
      </c>
      <c r="H194" s="412">
        <v>3700</v>
      </c>
      <c r="I194" s="703"/>
      <c r="J194" s="703"/>
      <c r="K194" s="703">
        <f t="shared" si="6"/>
        <v>7400</v>
      </c>
    </row>
    <row r="195" spans="2:11" ht="15.75" x14ac:dyDescent="0.25">
      <c r="B195" s="550" t="s">
        <v>543</v>
      </c>
      <c r="C195" s="550"/>
      <c r="D195" s="550"/>
      <c r="E195" s="550"/>
      <c r="F195" s="550"/>
      <c r="G195" s="412">
        <v>1</v>
      </c>
      <c r="H195" s="412">
        <v>1990</v>
      </c>
      <c r="I195" s="703"/>
      <c r="J195" s="703"/>
      <c r="K195" s="703">
        <f t="shared" si="6"/>
        <v>1990</v>
      </c>
    </row>
    <row r="196" spans="2:11" ht="15.75" x14ac:dyDescent="0.25">
      <c r="B196" s="550" t="s">
        <v>545</v>
      </c>
      <c r="C196" s="550"/>
      <c r="D196" s="550"/>
      <c r="E196" s="550"/>
      <c r="F196" s="550"/>
      <c r="G196" s="412">
        <v>2</v>
      </c>
      <c r="H196" s="412">
        <v>430</v>
      </c>
      <c r="I196" s="703"/>
      <c r="J196" s="703"/>
      <c r="K196" s="703">
        <f t="shared" si="6"/>
        <v>860</v>
      </c>
    </row>
    <row r="197" spans="2:11" ht="15.75" x14ac:dyDescent="0.25">
      <c r="B197" s="550" t="s">
        <v>546</v>
      </c>
      <c r="C197" s="550"/>
      <c r="D197" s="550"/>
      <c r="E197" s="550"/>
      <c r="F197" s="550"/>
      <c r="G197" s="412">
        <v>2</v>
      </c>
      <c r="H197" s="412">
        <v>870</v>
      </c>
      <c r="I197" s="703"/>
      <c r="J197" s="703"/>
      <c r="K197" s="703">
        <f t="shared" si="6"/>
        <v>1740</v>
      </c>
    </row>
    <row r="198" spans="2:11" ht="15.75" x14ac:dyDescent="0.25">
      <c r="B198" s="550" t="s">
        <v>547</v>
      </c>
      <c r="C198" s="550"/>
      <c r="D198" s="550"/>
      <c r="E198" s="550"/>
      <c r="F198" s="550"/>
      <c r="G198" s="412">
        <v>2</v>
      </c>
      <c r="H198" s="412">
        <v>580</v>
      </c>
      <c r="I198" s="703"/>
      <c r="J198" s="703"/>
      <c r="K198" s="703">
        <f t="shared" si="6"/>
        <v>1160</v>
      </c>
    </row>
    <row r="199" spans="2:11" ht="15.75" x14ac:dyDescent="0.25">
      <c r="B199" s="550" t="s">
        <v>548</v>
      </c>
      <c r="C199" s="550"/>
      <c r="D199" s="550"/>
      <c r="E199" s="550"/>
      <c r="F199" s="550"/>
      <c r="G199" s="412">
        <v>2</v>
      </c>
      <c r="H199" s="412">
        <v>760</v>
      </c>
      <c r="I199" s="703"/>
      <c r="J199" s="703"/>
      <c r="K199" s="703">
        <f t="shared" si="6"/>
        <v>1520</v>
      </c>
    </row>
    <row r="200" spans="2:11" ht="15.75" x14ac:dyDescent="0.25">
      <c r="B200" s="550" t="s">
        <v>549</v>
      </c>
      <c r="C200" s="550"/>
      <c r="D200" s="550"/>
      <c r="E200" s="550"/>
      <c r="F200" s="550"/>
      <c r="G200" s="412">
        <v>2</v>
      </c>
      <c r="H200" s="412">
        <v>810</v>
      </c>
      <c r="I200" s="703"/>
      <c r="J200" s="703"/>
      <c r="K200" s="703">
        <f t="shared" si="6"/>
        <v>1620</v>
      </c>
    </row>
  </sheetData>
  <mergeCells count="192"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I188:K188"/>
    <mergeCell ref="B189:F189"/>
    <mergeCell ref="I189:K189"/>
    <mergeCell ref="B190:F190"/>
    <mergeCell ref="I190:K190"/>
    <mergeCell ref="B191:F191"/>
    <mergeCell ref="B192:F192"/>
    <mergeCell ref="B193:F193"/>
    <mergeCell ref="B183:F183"/>
    <mergeCell ref="I183:K18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3:K113"/>
    <mergeCell ref="B114:F114"/>
    <mergeCell ref="B109:F109"/>
    <mergeCell ref="B110:F110"/>
    <mergeCell ref="B111:F111"/>
    <mergeCell ref="B112:F112"/>
    <mergeCell ref="I112:K112"/>
    <mergeCell ref="I181:K181"/>
    <mergeCell ref="I182:K182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13:F113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50:K50"/>
    <mergeCell ref="I6:K6"/>
    <mergeCell ref="I7:K7"/>
    <mergeCell ref="I8:K8"/>
    <mergeCell ref="I9:K9"/>
    <mergeCell ref="B7:F7"/>
    <mergeCell ref="B6:F6"/>
    <mergeCell ref="B115:F115"/>
    <mergeCell ref="B116:F116"/>
    <mergeCell ref="B117:F117"/>
    <mergeCell ref="B118:F118"/>
    <mergeCell ref="B119:F119"/>
    <mergeCell ref="B4:F4"/>
    <mergeCell ref="I14:K14"/>
    <mergeCell ref="I15:K15"/>
    <mergeCell ref="I10:K10"/>
    <mergeCell ref="I11:K11"/>
    <mergeCell ref="I12:K12"/>
    <mergeCell ref="I13:K13"/>
    <mergeCell ref="B51:F51"/>
    <mergeCell ref="I51:K51"/>
    <mergeCell ref="B52:F52"/>
    <mergeCell ref="I52:K52"/>
    <mergeCell ref="B53:F53"/>
    <mergeCell ref="I53:K53"/>
    <mergeCell ref="B54:F54"/>
    <mergeCell ref="I54:K54"/>
    <mergeCell ref="B55:F55"/>
    <mergeCell ref="I55:K55"/>
    <mergeCell ref="B56:F56"/>
    <mergeCell ref="I56:K56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24:F124"/>
    <mergeCell ref="B135:F135"/>
    <mergeCell ref="B136:F136"/>
    <mergeCell ref="B137:F137"/>
    <mergeCell ref="B138:F138"/>
    <mergeCell ref="B139:F139"/>
    <mergeCell ref="B130:F130"/>
    <mergeCell ref="B131:F131"/>
    <mergeCell ref="B132:F132"/>
    <mergeCell ref="B133:F133"/>
    <mergeCell ref="B134:F134"/>
    <mergeCell ref="B145:F145"/>
    <mergeCell ref="B146:F146"/>
    <mergeCell ref="B147:F147"/>
    <mergeCell ref="B148:F148"/>
    <mergeCell ref="B149:F149"/>
    <mergeCell ref="B140:F140"/>
    <mergeCell ref="B141:F141"/>
    <mergeCell ref="B142:F142"/>
    <mergeCell ref="B143:F143"/>
    <mergeCell ref="B144:F144"/>
    <mergeCell ref="B155:F155"/>
    <mergeCell ref="B156:F156"/>
    <mergeCell ref="B157:F157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80:F180"/>
    <mergeCell ref="B181:F181"/>
    <mergeCell ref="B182:F182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323"/>
  <sheetViews>
    <sheetView topLeftCell="A305" workbookViewId="0">
      <selection sqref="A1:E323"/>
    </sheetView>
  </sheetViews>
  <sheetFormatPr defaultColWidth="8.875" defaultRowHeight="15" x14ac:dyDescent="0.25"/>
  <cols>
    <col min="1" max="1" width="17.75" style="2" customWidth="1"/>
    <col min="2" max="2" width="17.625" style="2" customWidth="1"/>
    <col min="3" max="3" width="28.75" style="2" customWidth="1"/>
    <col min="4" max="4" width="15.125" style="2" customWidth="1"/>
    <col min="5" max="5" width="21.125" style="2" customWidth="1"/>
    <col min="6" max="16384" width="8.875" style="2"/>
  </cols>
  <sheetData>
    <row r="1" spans="1:5" ht="166.5" customHeight="1" x14ac:dyDescent="0.25">
      <c r="D1" s="442" t="str">
        <f>'натур показатели 3 работа'!D1:E1</f>
        <v xml:space="preserve">Приложение №1 к приложению 1  к Приказу отдела физической культуры, спорта и молодежной политики Северо-Енисейского района от  06.05.2019 № 27-ОС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</v>
      </c>
      <c r="E1" s="442"/>
    </row>
    <row r="3" spans="1:5" x14ac:dyDescent="0.25">
      <c r="A3" s="592" t="s">
        <v>149</v>
      </c>
      <c r="B3" s="592"/>
      <c r="C3" s="592"/>
      <c r="D3" s="592"/>
      <c r="E3" s="592"/>
    </row>
    <row r="4" spans="1:5" ht="13.5" customHeight="1" x14ac:dyDescent="0.25">
      <c r="A4" s="593" t="s">
        <v>173</v>
      </c>
      <c r="B4" s="593"/>
      <c r="C4" s="593"/>
      <c r="D4" s="593"/>
      <c r="E4" s="593"/>
    </row>
    <row r="5" spans="1:5" ht="60" x14ac:dyDescent="0.25">
      <c r="A5" s="145" t="s">
        <v>150</v>
      </c>
      <c r="B5" s="68" t="s">
        <v>151</v>
      </c>
      <c r="C5" s="145" t="s">
        <v>152</v>
      </c>
      <c r="D5" s="145" t="s">
        <v>153</v>
      </c>
      <c r="E5" s="145" t="s">
        <v>154</v>
      </c>
    </row>
    <row r="6" spans="1:5" x14ac:dyDescent="0.25">
      <c r="A6" s="146">
        <v>1</v>
      </c>
      <c r="B6" s="146">
        <v>2</v>
      </c>
      <c r="C6" s="146">
        <v>3</v>
      </c>
      <c r="D6" s="146">
        <v>4</v>
      </c>
      <c r="E6" s="146">
        <v>5</v>
      </c>
    </row>
    <row r="7" spans="1:5" ht="37.15" customHeight="1" x14ac:dyDescent="0.25">
      <c r="A7" s="722" t="s">
        <v>175</v>
      </c>
      <c r="B7" s="724" t="s">
        <v>176</v>
      </c>
      <c r="C7" s="594" t="s">
        <v>155</v>
      </c>
      <c r="D7" s="595"/>
      <c r="E7" s="596"/>
    </row>
    <row r="8" spans="1:5" ht="14.45" customHeight="1" x14ac:dyDescent="0.25">
      <c r="A8" s="723"/>
      <c r="B8" s="725"/>
      <c r="C8" s="597" t="s">
        <v>156</v>
      </c>
      <c r="D8" s="598"/>
      <c r="E8" s="599"/>
    </row>
    <row r="9" spans="1:5" ht="12" customHeight="1" x14ac:dyDescent="0.25">
      <c r="A9" s="723"/>
      <c r="B9" s="725"/>
      <c r="C9" s="119" t="s">
        <v>163</v>
      </c>
      <c r="D9" s="147" t="s">
        <v>157</v>
      </c>
      <c r="E9" s="322">
        <f>'работа 2 пат'!D25</f>
        <v>2.2511999999999999</v>
      </c>
    </row>
    <row r="10" spans="1:5" ht="12" customHeight="1" x14ac:dyDescent="0.25">
      <c r="A10" s="723"/>
      <c r="B10" s="725"/>
      <c r="C10" s="119" t="s">
        <v>108</v>
      </c>
      <c r="D10" s="148" t="s">
        <v>157</v>
      </c>
      <c r="E10" s="322">
        <f>'работа 2 пат'!D24</f>
        <v>0.40200000000000002</v>
      </c>
    </row>
    <row r="11" spans="1:5" ht="12" customHeight="1" x14ac:dyDescent="0.25">
      <c r="A11" s="723"/>
      <c r="B11" s="725"/>
      <c r="C11" s="608" t="s">
        <v>167</v>
      </c>
      <c r="D11" s="609"/>
      <c r="E11" s="610"/>
    </row>
    <row r="12" spans="1:5" ht="40.15" customHeight="1" x14ac:dyDescent="0.25">
      <c r="A12" s="723"/>
      <c r="B12" s="725"/>
      <c r="C12" s="133" t="s">
        <v>304</v>
      </c>
      <c r="D12" s="111" t="s">
        <v>39</v>
      </c>
      <c r="E12" s="321">
        <f>'работа 2 пат'!E45</f>
        <v>0.40200000000000002</v>
      </c>
    </row>
    <row r="13" spans="1:5" ht="25.5" customHeight="1" x14ac:dyDescent="0.25">
      <c r="A13" s="723"/>
      <c r="B13" s="725"/>
      <c r="C13" s="133" t="s">
        <v>305</v>
      </c>
      <c r="D13" s="111" t="s">
        <v>39</v>
      </c>
      <c r="E13" s="321">
        <f>'работа 2 пат'!E46</f>
        <v>0.40200000000000002</v>
      </c>
    </row>
    <row r="14" spans="1:5" ht="22.9" customHeight="1" x14ac:dyDescent="0.25">
      <c r="A14" s="723"/>
      <c r="B14" s="725"/>
      <c r="C14" s="133" t="s">
        <v>306</v>
      </c>
      <c r="D14" s="111" t="s">
        <v>39</v>
      </c>
      <c r="E14" s="321">
        <f>'работа 2 пат'!E47</f>
        <v>0.40200000000000002</v>
      </c>
    </row>
    <row r="15" spans="1:5" ht="27" customHeight="1" x14ac:dyDescent="0.25">
      <c r="A15" s="723"/>
      <c r="B15" s="725"/>
      <c r="C15" s="611" t="s">
        <v>168</v>
      </c>
      <c r="D15" s="612"/>
      <c r="E15" s="613"/>
    </row>
    <row r="16" spans="1:5" ht="30" hidden="1" customHeight="1" x14ac:dyDescent="0.25">
      <c r="A16" s="723"/>
      <c r="B16" s="725"/>
      <c r="C16" s="143" t="str">
        <f>'работа 2 пат'!A55</f>
        <v>Праздничное мероприятие, посвященное Дню памяти войнов-интернационалистов</v>
      </c>
      <c r="D16" s="111"/>
      <c r="E16" s="96"/>
    </row>
    <row r="17" spans="1:5" ht="12" customHeight="1" x14ac:dyDescent="0.25">
      <c r="A17" s="723"/>
      <c r="B17" s="725"/>
      <c r="C17" s="143" t="str">
        <f>'работа 2 пат'!A56</f>
        <v>Медаль с подвесом, гравированная, футляр</v>
      </c>
      <c r="D17" s="242" t="s">
        <v>93</v>
      </c>
      <c r="E17" s="96">
        <f>'работа 2 пат'!E56</f>
        <v>12</v>
      </c>
    </row>
    <row r="18" spans="1:5" ht="12" customHeight="1" x14ac:dyDescent="0.25">
      <c r="A18" s="723"/>
      <c r="B18" s="725"/>
      <c r="C18" s="143" t="str">
        <f>'работа 2 пат'!A57</f>
        <v>Организация питания участников мероприятия</v>
      </c>
      <c r="D18" s="364" t="s">
        <v>93</v>
      </c>
      <c r="E18" s="96">
        <f>'работа 2 пат'!E57</f>
        <v>13</v>
      </c>
    </row>
    <row r="19" spans="1:5" ht="12" hidden="1" customHeight="1" x14ac:dyDescent="0.25">
      <c r="A19" s="723"/>
      <c r="B19" s="725"/>
      <c r="C19" s="143" t="str">
        <f>'работа 2 пат'!A58</f>
        <v>Сетевая акция «Георгиевская ленточка»</v>
      </c>
      <c r="D19" s="364" t="s">
        <v>93</v>
      </c>
      <c r="E19" s="96">
        <f>'работа 2 пат'!E58</f>
        <v>0</v>
      </c>
    </row>
    <row r="20" spans="1:5" ht="12" customHeight="1" x14ac:dyDescent="0.25">
      <c r="A20" s="723"/>
      <c r="B20" s="725"/>
      <c r="C20" s="143" t="str">
        <f>'работа 2 пат'!A59</f>
        <v>Георгиевская ленточка (бабина)</v>
      </c>
      <c r="D20" s="364" t="s">
        <v>93</v>
      </c>
      <c r="E20" s="96">
        <f>'работа 2 пат'!E59</f>
        <v>5</v>
      </c>
    </row>
    <row r="21" spans="1:5" ht="12" customHeight="1" x14ac:dyDescent="0.25">
      <c r="A21" s="723"/>
      <c r="B21" s="725"/>
      <c r="C21" s="143" t="str">
        <f>'работа 2 пат'!A60</f>
        <v>Жилет "Волонтеры Победы"</v>
      </c>
      <c r="D21" s="364" t="s">
        <v>93</v>
      </c>
      <c r="E21" s="96">
        <f>'работа 2 пат'!E60</f>
        <v>6</v>
      </c>
    </row>
    <row r="22" spans="1:5" ht="12" hidden="1" customHeight="1" x14ac:dyDescent="0.25">
      <c r="A22" s="723"/>
      <c r="B22" s="725"/>
      <c r="C22" s="143" t="str">
        <f>'работа 2 пат'!A61</f>
        <v>Акция «Бессмертный полк».</v>
      </c>
      <c r="D22" s="364" t="s">
        <v>93</v>
      </c>
      <c r="E22" s="96">
        <f>'работа 2 пат'!E61</f>
        <v>0</v>
      </c>
    </row>
    <row r="23" spans="1:5" ht="12" customHeight="1" x14ac:dyDescent="0.25">
      <c r="A23" s="723"/>
      <c r="B23" s="725"/>
      <c r="C23" s="143" t="str">
        <f>'работа 2 пат'!A62</f>
        <v xml:space="preserve">Фотобумага IST глянцевая односторонняя, А4 (21х29,7), 150 гр/м2, 100 листов </v>
      </c>
      <c r="D23" s="364" t="s">
        <v>93</v>
      </c>
      <c r="E23" s="96">
        <f>'работа 2 пат'!E62</f>
        <v>10</v>
      </c>
    </row>
    <row r="24" spans="1:5" ht="12" customHeight="1" x14ac:dyDescent="0.25">
      <c r="A24" s="723"/>
      <c r="B24" s="725"/>
      <c r="C24" s="143" t="str">
        <f>'работа 2 пат'!A63</f>
        <v>Пленка для ламинирования Cactus 80мкм A4 (100шт) глянцевая 216x303мм CS-LPGA480100</v>
      </c>
      <c r="D24" s="364" t="s">
        <v>93</v>
      </c>
      <c r="E24" s="96">
        <f>'работа 2 пат'!E63</f>
        <v>3</v>
      </c>
    </row>
    <row r="25" spans="1:5" ht="12" customHeight="1" x14ac:dyDescent="0.25">
      <c r="A25" s="723"/>
      <c r="B25" s="725"/>
      <c r="C25" s="143" t="str">
        <f>'работа 2 пат'!A64</f>
        <v>Чернила для заправки Canon PIXMA G3400 пигментные + водные InkTec, комплект 4 х 100 мл</v>
      </c>
      <c r="D25" s="364" t="s">
        <v>93</v>
      </c>
      <c r="E25" s="96">
        <f>'работа 2 пат'!E64</f>
        <v>4</v>
      </c>
    </row>
    <row r="26" spans="1:5" ht="12" customHeight="1" x14ac:dyDescent="0.25">
      <c r="A26" s="723"/>
      <c r="B26" s="725"/>
      <c r="C26" s="143" t="str">
        <f>'работа 2 пат'!A65</f>
        <v>Сетевая акция «Свеча Памяти»</v>
      </c>
      <c r="D26" s="364" t="s">
        <v>93</v>
      </c>
      <c r="E26" s="96">
        <f>'работа 2 пат'!E65</f>
        <v>0</v>
      </c>
    </row>
    <row r="27" spans="1:5" ht="12" customHeight="1" x14ac:dyDescent="0.25">
      <c r="A27" s="723"/>
      <c r="B27" s="725"/>
      <c r="C27" s="143" t="str">
        <f>'работа 2 пат'!A66</f>
        <v>Лампада с вкладышем</v>
      </c>
      <c r="D27" s="364" t="s">
        <v>93</v>
      </c>
      <c r="E27" s="96">
        <f>'работа 2 пат'!E66</f>
        <v>300</v>
      </c>
    </row>
    <row r="28" spans="1:5" ht="12" customHeight="1" x14ac:dyDescent="0.25">
      <c r="A28" s="723"/>
      <c r="B28" s="725"/>
      <c r="C28" s="143" t="str">
        <f>'работа 2 пат'!A67</f>
        <v>Парафиновый вкладыш</v>
      </c>
      <c r="D28" s="364" t="s">
        <v>93</v>
      </c>
      <c r="E28" s="96">
        <f>'работа 2 пат'!E67</f>
        <v>330</v>
      </c>
    </row>
    <row r="29" spans="1:5" ht="12" customHeight="1" x14ac:dyDescent="0.25">
      <c r="A29" s="723"/>
      <c r="B29" s="725"/>
      <c r="C29" s="143" t="str">
        <f>'работа 2 пат'!A68</f>
        <v>Баннер</v>
      </c>
      <c r="D29" s="364" t="s">
        <v>93</v>
      </c>
      <c r="E29" s="96">
        <f>'работа 2 пат'!E68</f>
        <v>1</v>
      </c>
    </row>
    <row r="30" spans="1:5" ht="12" customHeight="1" x14ac:dyDescent="0.25">
      <c r="A30" s="723"/>
      <c r="B30" s="725"/>
      <c r="C30" s="143" t="str">
        <f>'работа 2 пат'!A69</f>
        <v>Форма времен Великой Отечественной войны (Комплект)</v>
      </c>
      <c r="D30" s="364" t="s">
        <v>93</v>
      </c>
      <c r="E30" s="96">
        <f>'работа 2 пат'!E69</f>
        <v>5</v>
      </c>
    </row>
    <row r="31" spans="1:5" ht="12" hidden="1" customHeight="1" x14ac:dyDescent="0.25">
      <c r="A31" s="723"/>
      <c r="B31" s="725"/>
      <c r="C31" s="143" t="str">
        <f>'работа 2 пат'!A70</f>
        <v xml:space="preserve">Конкурс на лучшую полевую кухню в рамках Всероссийской акции «Солдатская каша». </v>
      </c>
      <c r="D31" s="364" t="s">
        <v>93</v>
      </c>
      <c r="E31" s="96">
        <f>'работа 2 пат'!E70</f>
        <v>0</v>
      </c>
    </row>
    <row r="32" spans="1:5" ht="12" customHeight="1" x14ac:dyDescent="0.25">
      <c r="A32" s="723"/>
      <c r="B32" s="725"/>
      <c r="C32" s="143" t="str">
        <f>'работа 2 пат'!A71</f>
        <v>Подарочные наборы</v>
      </c>
      <c r="D32" s="364" t="s">
        <v>93</v>
      </c>
      <c r="E32" s="96">
        <f>'работа 2 пат'!E71</f>
        <v>4</v>
      </c>
    </row>
    <row r="33" spans="1:5" ht="12" customHeight="1" x14ac:dyDescent="0.25">
      <c r="A33" s="723"/>
      <c r="B33" s="725"/>
      <c r="C33" s="143" t="str">
        <f>'работа 2 пат'!A72</f>
        <v>Баннер</v>
      </c>
      <c r="D33" s="364" t="s">
        <v>93</v>
      </c>
      <c r="E33" s="96">
        <f>'работа 2 пат'!E72</f>
        <v>1</v>
      </c>
    </row>
    <row r="34" spans="1:5" ht="12" hidden="1" customHeight="1" x14ac:dyDescent="0.25">
      <c r="A34" s="723"/>
      <c r="B34" s="725"/>
      <c r="C34" s="143" t="str">
        <f>'работа 2 пат'!A73</f>
        <v>Организация этно-краеведческого квеста на фестивале СЭВЭКИ</v>
      </c>
      <c r="D34" s="364" t="s">
        <v>93</v>
      </c>
      <c r="E34" s="96">
        <f>'работа 2 пат'!E73</f>
        <v>0</v>
      </c>
    </row>
    <row r="35" spans="1:5" ht="12" customHeight="1" x14ac:dyDescent="0.25">
      <c r="A35" s="723"/>
      <c r="B35" s="725"/>
      <c r="C35" s="143" t="str">
        <f>'работа 2 пат'!A74</f>
        <v>Подарочные наборы</v>
      </c>
      <c r="D35" s="364" t="s">
        <v>93</v>
      </c>
      <c r="E35" s="96">
        <f>'работа 2 пат'!E74</f>
        <v>3</v>
      </c>
    </row>
    <row r="36" spans="1:5" ht="12" customHeight="1" x14ac:dyDescent="0.25">
      <c r="A36" s="723"/>
      <c r="B36" s="725"/>
      <c r="C36" s="143" t="str">
        <f>'работа 2 пат'!A75</f>
        <v>Футболки</v>
      </c>
      <c r="D36" s="364" t="s">
        <v>93</v>
      </c>
      <c r="E36" s="96">
        <f>'работа 2 пат'!E75</f>
        <v>10</v>
      </c>
    </row>
    <row r="37" spans="1:5" ht="12" customHeight="1" x14ac:dyDescent="0.25">
      <c r="A37" s="723"/>
      <c r="B37" s="725"/>
      <c r="C37" s="143" t="str">
        <f>'работа 2 пат'!A76</f>
        <v>Баннер</v>
      </c>
      <c r="D37" s="364" t="s">
        <v>93</v>
      </c>
      <c r="E37" s="96">
        <f>'работа 2 пат'!E76</f>
        <v>1</v>
      </c>
    </row>
    <row r="38" spans="1:5" ht="12" hidden="1" customHeight="1" x14ac:dyDescent="0.25">
      <c r="A38" s="723"/>
      <c r="B38" s="725"/>
      <c r="C38" s="143" t="str">
        <f>'работа 2 пат'!A77</f>
        <v>Проведение муниципального этапа военно-патриотической игры «Сибирский щит».</v>
      </c>
      <c r="D38" s="364" t="s">
        <v>93</v>
      </c>
      <c r="E38" s="96">
        <f>'работа 2 пат'!E77</f>
        <v>0</v>
      </c>
    </row>
    <row r="39" spans="1:5" ht="12" customHeight="1" x14ac:dyDescent="0.25">
      <c r="A39" s="723"/>
      <c r="B39" s="725"/>
      <c r="C39" s="143" t="str">
        <f>'работа 2 пат'!A78</f>
        <v>Подарочные наборы</v>
      </c>
      <c r="D39" s="364" t="s">
        <v>93</v>
      </c>
      <c r="E39" s="96">
        <f>'работа 2 пат'!E78</f>
        <v>3</v>
      </c>
    </row>
    <row r="40" spans="1:5" ht="12" customHeight="1" x14ac:dyDescent="0.25">
      <c r="A40" s="723"/>
      <c r="B40" s="725"/>
      <c r="C40" s="143" t="str">
        <f>'работа 2 пат'!A79</f>
        <v>Футболка поло для судей</v>
      </c>
      <c r="D40" s="364" t="s">
        <v>93</v>
      </c>
      <c r="E40" s="96">
        <f>'работа 2 пат'!E79</f>
        <v>6</v>
      </c>
    </row>
    <row r="41" spans="1:5" ht="12" customHeight="1" x14ac:dyDescent="0.25">
      <c r="A41" s="723"/>
      <c r="B41" s="725"/>
      <c r="C41" s="143" t="str">
        <f>'работа 2 пат'!A80</f>
        <v>Баннер</v>
      </c>
      <c r="D41" s="364" t="s">
        <v>93</v>
      </c>
      <c r="E41" s="96">
        <f>'работа 2 пат'!E80</f>
        <v>1</v>
      </c>
    </row>
    <row r="42" spans="1:5" ht="12" hidden="1" customHeight="1" x14ac:dyDescent="0.25">
      <c r="A42" s="723"/>
      <c r="B42" s="725"/>
      <c r="C42" s="143" t="str">
        <f>'работа 2 пат'!A81</f>
        <v>Фестиваль «Живая история». Военно-исторический форум в рамках празднования Дня народного единства.</v>
      </c>
      <c r="D42" s="364" t="s">
        <v>93</v>
      </c>
      <c r="E42" s="96">
        <f>'работа 2 пат'!E81</f>
        <v>0</v>
      </c>
    </row>
    <row r="43" spans="1:5" ht="12" customHeight="1" x14ac:dyDescent="0.25">
      <c r="A43" s="723"/>
      <c r="B43" s="725"/>
      <c r="C43" s="143" t="str">
        <f>'работа 2 пат'!A82</f>
        <v>Подарочные наборы</v>
      </c>
      <c r="D43" s="364" t="s">
        <v>93</v>
      </c>
      <c r="E43" s="96">
        <f>'работа 2 пат'!E82</f>
        <v>3</v>
      </c>
    </row>
    <row r="44" spans="1:5" ht="12" customHeight="1" x14ac:dyDescent="0.25">
      <c r="A44" s="723"/>
      <c r="B44" s="725"/>
      <c r="C44" s="143" t="str">
        <f>'работа 2 пат'!A83</f>
        <v>Расходные материалы и сувениры для проведения мероприятий в течение года</v>
      </c>
      <c r="D44" s="364" t="s">
        <v>93</v>
      </c>
      <c r="E44" s="96">
        <f>'работа 2 пат'!E83</f>
        <v>0</v>
      </c>
    </row>
    <row r="45" spans="1:5" ht="12" customHeight="1" x14ac:dyDescent="0.25">
      <c r="A45" s="723"/>
      <c r="B45" s="725"/>
      <c r="C45" s="143" t="str">
        <f>'работа 2 пат'!A84</f>
        <v>Сувениры</v>
      </c>
      <c r="D45" s="364" t="s">
        <v>93</v>
      </c>
      <c r="E45" s="96">
        <f>'работа 2 пат'!E84</f>
        <v>150</v>
      </c>
    </row>
    <row r="46" spans="1:5" ht="12" hidden="1" customHeight="1" x14ac:dyDescent="0.25">
      <c r="A46" s="723"/>
      <c r="B46" s="725"/>
      <c r="C46" s="143">
        <f>'работа 2 пат'!A85</f>
        <v>0</v>
      </c>
      <c r="D46" s="364" t="s">
        <v>93</v>
      </c>
      <c r="E46" s="713"/>
    </row>
    <row r="47" spans="1:5" ht="12" hidden="1" customHeight="1" x14ac:dyDescent="0.25">
      <c r="A47" s="723"/>
      <c r="B47" s="725"/>
      <c r="C47" s="143">
        <f>'работа 2 пат'!A86</f>
        <v>0</v>
      </c>
      <c r="D47" s="364" t="s">
        <v>93</v>
      </c>
      <c r="E47" s="713"/>
    </row>
    <row r="48" spans="1:5" ht="12" hidden="1" customHeight="1" x14ac:dyDescent="0.25">
      <c r="A48" s="723"/>
      <c r="B48" s="725"/>
      <c r="C48" s="143">
        <f>'работа 2 пат'!A87</f>
        <v>0</v>
      </c>
      <c r="D48" s="364" t="s">
        <v>93</v>
      </c>
      <c r="E48" s="713"/>
    </row>
    <row r="49" spans="1:5" ht="12" hidden="1" customHeight="1" x14ac:dyDescent="0.25">
      <c r="A49" s="723"/>
      <c r="B49" s="725"/>
      <c r="C49" s="143">
        <f>'работа 2 пат'!A88</f>
        <v>0</v>
      </c>
      <c r="D49" s="364" t="s">
        <v>93</v>
      </c>
      <c r="E49" s="713"/>
    </row>
    <row r="50" spans="1:5" ht="26.45" customHeight="1" x14ac:dyDescent="0.25">
      <c r="A50" s="723"/>
      <c r="B50" s="725"/>
      <c r="C50" s="614" t="s">
        <v>158</v>
      </c>
      <c r="D50" s="615"/>
      <c r="E50" s="616"/>
    </row>
    <row r="51" spans="1:5" ht="14.45" customHeight="1" x14ac:dyDescent="0.25">
      <c r="A51" s="723"/>
      <c r="B51" s="725"/>
      <c r="C51" s="614" t="s">
        <v>159</v>
      </c>
      <c r="D51" s="615"/>
      <c r="E51" s="616"/>
    </row>
    <row r="52" spans="1:5" ht="14.45" customHeight="1" x14ac:dyDescent="0.25">
      <c r="A52" s="723"/>
      <c r="B52" s="725"/>
      <c r="C52" s="149" t="str">
        <f>'натур показатели 3 работа'!C37</f>
        <v>Теплоэнергия</v>
      </c>
      <c r="D52" s="150" t="str">
        <f>'натур показатели 3 работа'!D37</f>
        <v>Гкал</v>
      </c>
      <c r="E52" s="151">
        <f>'работа 2 пат'!D128</f>
        <v>22.110000000000003</v>
      </c>
    </row>
    <row r="53" spans="1:5" ht="14.45" customHeight="1" x14ac:dyDescent="0.25">
      <c r="A53" s="723"/>
      <c r="B53" s="725"/>
      <c r="C53" s="149" t="str">
        <f>'натур показатели 3 работа'!C38</f>
        <v>Водоснабжение 1 полугодие</v>
      </c>
      <c r="D53" s="150" t="str">
        <f>'натур показатели 3 работа'!D38</f>
        <v>м3</v>
      </c>
      <c r="E53" s="151">
        <f>'работа 2 пат'!D129</f>
        <v>42.732599999999998</v>
      </c>
    </row>
    <row r="54" spans="1:5" ht="14.45" customHeight="1" x14ac:dyDescent="0.25">
      <c r="A54" s="723"/>
      <c r="B54" s="725"/>
      <c r="C54" s="149" t="str">
        <f>'натур показатели 3 работа'!C39</f>
        <v>Водоснабжение 2 полугодие</v>
      </c>
      <c r="D54" s="150" t="str">
        <f>'натур показатели 3 работа'!D39</f>
        <v>м3</v>
      </c>
      <c r="E54" s="151">
        <f>'работа 2 пат'!D130</f>
        <v>42.732599999999998</v>
      </c>
    </row>
    <row r="55" spans="1:5" ht="14.45" customHeight="1" x14ac:dyDescent="0.25">
      <c r="A55" s="723"/>
      <c r="B55" s="725"/>
      <c r="C55" s="149" t="str">
        <f>'натур показатели 3 работа'!C40</f>
        <v>Электроэнергия</v>
      </c>
      <c r="D55" s="150" t="str">
        <f>'натур показатели 3 работа'!D40</f>
        <v>КВТ/ч</v>
      </c>
      <c r="E55" s="151">
        <f>'работа 2 пат'!D131</f>
        <v>4.16472</v>
      </c>
    </row>
    <row r="56" spans="1:5" ht="14.45" customHeight="1" x14ac:dyDescent="0.25">
      <c r="A56" s="723"/>
      <c r="B56" s="725"/>
      <c r="C56" s="149" t="str">
        <f>'натур показатели 3 работа'!C41</f>
        <v>Водоотведение (септик)  откачка асс. машиной 6 раз в год</v>
      </c>
      <c r="D56" s="150" t="str">
        <f>'натур показатели 3 работа'!D41</f>
        <v>дог</v>
      </c>
      <c r="E56" s="151">
        <f>'работа 2 пат'!D132</f>
        <v>4.8239999999999998</v>
      </c>
    </row>
    <row r="57" spans="1:5" ht="14.45" customHeight="1" x14ac:dyDescent="0.25">
      <c r="A57" s="723"/>
      <c r="B57" s="725"/>
      <c r="C57" s="149" t="str">
        <f>'натур показатели 3 работа'!C42</f>
        <v>ТКО</v>
      </c>
      <c r="D57" s="150" t="str">
        <f>'натур показатели 3 работа'!D42</f>
        <v>м3</v>
      </c>
      <c r="E57" s="151">
        <f>'работа 2 пат'!D133</f>
        <v>1.4616720000000001</v>
      </c>
    </row>
    <row r="58" spans="1:5" ht="39" customHeight="1" x14ac:dyDescent="0.25">
      <c r="A58" s="723"/>
      <c r="B58" s="725"/>
      <c r="C58" s="602" t="s">
        <v>160</v>
      </c>
      <c r="D58" s="603"/>
      <c r="E58" s="604"/>
    </row>
    <row r="59" spans="1:5" ht="23.25" customHeight="1" x14ac:dyDescent="0.25">
      <c r="A59" s="723"/>
      <c r="B59" s="725"/>
      <c r="C59" s="152" t="str">
        <f>'работа 2 пат'!A184</f>
        <v xml:space="preserve">Обслуживание систем пожарной сигнализации  </v>
      </c>
      <c r="D59" s="427" t="str">
        <f>'работа 2 пат'!B184</f>
        <v>договор</v>
      </c>
      <c r="E59" s="427">
        <f>'работа 2 пат'!D184</f>
        <v>4.8239999999999998</v>
      </c>
    </row>
    <row r="60" spans="1:5" ht="22.5" customHeight="1" x14ac:dyDescent="0.25">
      <c r="A60" s="723"/>
      <c r="B60" s="725"/>
      <c r="C60" s="152" t="str">
        <f>'работа 2 пат'!A185</f>
        <v xml:space="preserve">Уборка территории от снега </v>
      </c>
      <c r="D60" s="427" t="str">
        <f>'работа 2 пат'!B185</f>
        <v>договор</v>
      </c>
      <c r="E60" s="427">
        <f>'работа 2 пат'!D185</f>
        <v>0.80400000000000005</v>
      </c>
    </row>
    <row r="61" spans="1:5" ht="15" customHeight="1" x14ac:dyDescent="0.25">
      <c r="A61" s="723"/>
      <c r="B61" s="725"/>
      <c r="C61" s="152" t="str">
        <f>'работа 2 пат'!A186</f>
        <v>Профилактическая дезинфекция</v>
      </c>
      <c r="D61" s="427" t="str">
        <f>'работа 2 пат'!B186</f>
        <v>договор</v>
      </c>
      <c r="E61" s="427">
        <f>'работа 2 пат'!D186</f>
        <v>0.40200000000000002</v>
      </c>
    </row>
    <row r="62" spans="1:5" ht="15" customHeight="1" x14ac:dyDescent="0.25">
      <c r="A62" s="723"/>
      <c r="B62" s="725"/>
      <c r="C62" s="152" t="str">
        <f>'работа 2 пат'!A187</f>
        <v>Комплексное обслуживание системы тепловодоснабжения и конструктивных элементов здания</v>
      </c>
      <c r="D62" s="427" t="str">
        <f>'работа 2 пат'!B187</f>
        <v>договор</v>
      </c>
      <c r="E62" s="427">
        <f>'работа 2 пат'!D187</f>
        <v>0.40200000000000002</v>
      </c>
    </row>
    <row r="63" spans="1:5" ht="15" customHeight="1" x14ac:dyDescent="0.25">
      <c r="A63" s="723"/>
      <c r="B63" s="725"/>
      <c r="C63" s="152" t="str">
        <f>'работа 2 пат'!A188</f>
        <v>Договор ТО автомобиля</v>
      </c>
      <c r="D63" s="427" t="str">
        <f>'работа 2 пат'!B188</f>
        <v>договор</v>
      </c>
      <c r="E63" s="427">
        <f>'работа 2 пат'!D188</f>
        <v>0.40200000000000002</v>
      </c>
    </row>
    <row r="64" spans="1:5" ht="15" customHeight="1" x14ac:dyDescent="0.25">
      <c r="A64" s="723"/>
      <c r="B64" s="725"/>
      <c r="C64" s="152" t="str">
        <f>'работа 2 пат'!A189</f>
        <v>Восстановительные работы по а/м Хёндай (остаток не под контрактом)</v>
      </c>
      <c r="D64" s="427" t="str">
        <f>'работа 2 пат'!B189</f>
        <v>договор</v>
      </c>
      <c r="E64" s="427">
        <f>'работа 2 пат'!D189</f>
        <v>0.40200000000000002</v>
      </c>
    </row>
    <row r="65" spans="1:5" ht="15" customHeight="1" x14ac:dyDescent="0.25">
      <c r="A65" s="723"/>
      <c r="B65" s="725"/>
      <c r="C65" s="152" t="str">
        <f>'работа 2 пат'!A190</f>
        <v>Покраска переднего бампера</v>
      </c>
      <c r="D65" s="427" t="str">
        <f>'работа 2 пат'!B190</f>
        <v>договор</v>
      </c>
      <c r="E65" s="427">
        <f>'работа 2 пат'!D190</f>
        <v>0.40200000000000002</v>
      </c>
    </row>
    <row r="66" spans="1:5" ht="15" customHeight="1" x14ac:dyDescent="0.25">
      <c r="A66" s="723"/>
      <c r="B66" s="725"/>
      <c r="C66" s="152" t="str">
        <f>'работа 2 пат'!A191</f>
        <v>Покраска капота</v>
      </c>
      <c r="D66" s="427" t="str">
        <f>'работа 2 пат'!B191</f>
        <v>договор</v>
      </c>
      <c r="E66" s="427">
        <f>'работа 2 пат'!D191</f>
        <v>0.40200000000000002</v>
      </c>
    </row>
    <row r="67" spans="1:5" ht="15" customHeight="1" x14ac:dyDescent="0.25">
      <c r="A67" s="723"/>
      <c r="B67" s="725"/>
      <c r="C67" s="152" t="str">
        <f>'работа 2 пат'!A192</f>
        <v>Покраска переднего левого крыла</v>
      </c>
      <c r="D67" s="427" t="str">
        <f>'работа 2 пат'!B192</f>
        <v>договор</v>
      </c>
      <c r="E67" s="427">
        <f>'работа 2 пат'!D192</f>
        <v>0.40200000000000002</v>
      </c>
    </row>
    <row r="68" spans="1:5" ht="15" customHeight="1" x14ac:dyDescent="0.25">
      <c r="A68" s="723"/>
      <c r="B68" s="725"/>
      <c r="C68" s="152" t="str">
        <f>'работа 2 пат'!A193</f>
        <v>Покраска переднего правого крыла</v>
      </c>
      <c r="D68" s="427" t="str">
        <f>'работа 2 пат'!B193</f>
        <v>договор</v>
      </c>
      <c r="E68" s="427">
        <f>'работа 2 пат'!D193</f>
        <v>0.40200000000000002</v>
      </c>
    </row>
    <row r="69" spans="1:5" ht="15" customHeight="1" x14ac:dyDescent="0.25">
      <c r="A69" s="723"/>
      <c r="B69" s="725"/>
      <c r="C69" s="152" t="str">
        <f>'работа 2 пат'!A194</f>
        <v>Покраска передней левой двери</v>
      </c>
      <c r="D69" s="427" t="str">
        <f>'работа 2 пат'!B194</f>
        <v>договор</v>
      </c>
      <c r="E69" s="427">
        <f>'работа 2 пат'!D194</f>
        <v>0.40200000000000002</v>
      </c>
    </row>
    <row r="70" spans="1:5" ht="15" customHeight="1" x14ac:dyDescent="0.25">
      <c r="A70" s="723"/>
      <c r="B70" s="725"/>
      <c r="C70" s="152" t="str">
        <f>'работа 2 пат'!A195</f>
        <v>Покраска двери передней правой</v>
      </c>
      <c r="D70" s="427" t="str">
        <f>'работа 2 пат'!B195</f>
        <v>договор</v>
      </c>
      <c r="E70" s="427">
        <f>'работа 2 пат'!D195</f>
        <v>0.40200000000000002</v>
      </c>
    </row>
    <row r="71" spans="1:5" ht="15" customHeight="1" x14ac:dyDescent="0.25">
      <c r="A71" s="723"/>
      <c r="B71" s="725"/>
      <c r="C71" s="152" t="str">
        <f>'работа 2 пат'!A196</f>
        <v>Покраска стойки правой</v>
      </c>
      <c r="D71" s="427" t="str">
        <f>'работа 2 пат'!B196</f>
        <v>договор</v>
      </c>
      <c r="E71" s="427">
        <f>'работа 2 пат'!D196</f>
        <v>0.40200000000000002</v>
      </c>
    </row>
    <row r="72" spans="1:5" ht="15" customHeight="1" x14ac:dyDescent="0.25">
      <c r="A72" s="723"/>
      <c r="B72" s="725"/>
      <c r="C72" s="152" t="str">
        <f>'работа 2 пат'!A197</f>
        <v>Ремонт заднего бампера</v>
      </c>
      <c r="D72" s="427" t="str">
        <f>'работа 2 пат'!B197</f>
        <v>договор</v>
      </c>
      <c r="E72" s="427">
        <f>'работа 2 пат'!D197</f>
        <v>0.40200000000000002</v>
      </c>
    </row>
    <row r="73" spans="1:5" ht="15" customHeight="1" x14ac:dyDescent="0.25">
      <c r="A73" s="723"/>
      <c r="B73" s="725"/>
      <c r="C73" s="152" t="str">
        <f>'работа 2 пат'!A198</f>
        <v>Покраска заднего бампера</v>
      </c>
      <c r="D73" s="427" t="str">
        <f>'работа 2 пат'!B198</f>
        <v>договор</v>
      </c>
      <c r="E73" s="427">
        <f>'работа 2 пат'!D198</f>
        <v>0.40200000000000002</v>
      </c>
    </row>
    <row r="74" spans="1:5" ht="15" customHeight="1" x14ac:dyDescent="0.25">
      <c r="A74" s="723"/>
      <c r="B74" s="725"/>
      <c r="C74" s="152" t="str">
        <f>'работа 2 пат'!A199</f>
        <v>Полировка кузова</v>
      </c>
      <c r="D74" s="427" t="str">
        <f>'работа 2 пат'!B199</f>
        <v>договор</v>
      </c>
      <c r="E74" s="427">
        <f>'работа 2 пат'!D199</f>
        <v>0.40200000000000002</v>
      </c>
    </row>
    <row r="75" spans="1:5" ht="15" customHeight="1" x14ac:dyDescent="0.25">
      <c r="A75" s="723"/>
      <c r="B75" s="725"/>
      <c r="C75" s="152" t="str">
        <f>'работа 2 пат'!A200</f>
        <v>Покраска крышки багажника</v>
      </c>
      <c r="D75" s="427" t="str">
        <f>'работа 2 пат'!B200</f>
        <v>договор</v>
      </c>
      <c r="E75" s="427">
        <f>'работа 2 пат'!D200</f>
        <v>0.40200000000000002</v>
      </c>
    </row>
    <row r="76" spans="1:5" ht="15" customHeight="1" x14ac:dyDescent="0.25">
      <c r="A76" s="723"/>
      <c r="B76" s="725"/>
      <c r="C76" s="152" t="str">
        <f>'работа 2 пат'!A201</f>
        <v>Полировка стекол со снятием</v>
      </c>
      <c r="D76" s="427" t="str">
        <f>'работа 2 пат'!B201</f>
        <v>договор</v>
      </c>
      <c r="E76" s="427">
        <f>'работа 2 пат'!D201</f>
        <v>0.40200000000000002</v>
      </c>
    </row>
    <row r="77" spans="1:5" ht="28.5" customHeight="1" x14ac:dyDescent="0.25">
      <c r="A77" s="723"/>
      <c r="B77" s="725"/>
      <c r="C77" s="152" t="str">
        <f>'работа 2 пат'!A202</f>
        <v>Слесарные работы по восстановлению сидений</v>
      </c>
      <c r="D77" s="427" t="str">
        <f>'работа 2 пат'!B202</f>
        <v>договор</v>
      </c>
      <c r="E77" s="427">
        <f>'работа 2 пат'!D202</f>
        <v>0.40200000000000002</v>
      </c>
    </row>
    <row r="78" spans="1:5" ht="15" customHeight="1" x14ac:dyDescent="0.25">
      <c r="A78" s="723"/>
      <c r="B78" s="725"/>
      <c r="C78" s="152" t="str">
        <f>'работа 2 пат'!A203</f>
        <v>Ремонт электрогитары</v>
      </c>
      <c r="D78" s="427" t="str">
        <f>'работа 2 пат'!B203</f>
        <v>договор</v>
      </c>
      <c r="E78" s="427">
        <f>'работа 2 пат'!D203</f>
        <v>0.40200000000000002</v>
      </c>
    </row>
    <row r="79" spans="1:5" ht="15" customHeight="1" x14ac:dyDescent="0.25">
      <c r="A79" s="723"/>
      <c r="B79" s="725"/>
      <c r="C79" s="152" t="str">
        <f>'работа 2 пат'!A204</f>
        <v>Ремонт акустической системы</v>
      </c>
      <c r="D79" s="427" t="str">
        <f>'работа 2 пат'!B204</f>
        <v>договор</v>
      </c>
      <c r="E79" s="427">
        <f>'работа 2 пат'!D204</f>
        <v>0.40200000000000002</v>
      </c>
    </row>
    <row r="80" spans="1:5" ht="15" customHeight="1" x14ac:dyDescent="0.25">
      <c r="A80" s="723"/>
      <c r="B80" s="725"/>
      <c r="C80" s="152" t="str">
        <f>'работа 2 пат'!A205</f>
        <v>Ремонт микшера</v>
      </c>
      <c r="D80" s="427" t="str">
        <f>'работа 2 пат'!B205</f>
        <v>договор</v>
      </c>
      <c r="E80" s="427">
        <f>'работа 2 пат'!D205</f>
        <v>0.40200000000000002</v>
      </c>
    </row>
    <row r="81" spans="1:5" ht="15" customHeight="1" x14ac:dyDescent="0.25">
      <c r="A81" s="723"/>
      <c r="B81" s="725"/>
      <c r="C81" s="152" t="str">
        <f>'работа 2 пат'!A206</f>
        <v>Ремонт комбо басовый</v>
      </c>
      <c r="D81" s="427" t="str">
        <f>'работа 2 пат'!B206</f>
        <v>договор</v>
      </c>
      <c r="E81" s="427">
        <f>'работа 2 пат'!D206</f>
        <v>0.40200000000000002</v>
      </c>
    </row>
    <row r="82" spans="1:5" ht="15" customHeight="1" x14ac:dyDescent="0.25">
      <c r="A82" s="723"/>
      <c r="B82" s="725"/>
      <c r="C82" s="152" t="str">
        <f>'работа 2 пат'!A207</f>
        <v>Ремонт Гитарного комбоусителя</v>
      </c>
      <c r="D82" s="427" t="str">
        <f>'работа 2 пат'!B207</f>
        <v>договор</v>
      </c>
      <c r="E82" s="427">
        <f>'работа 2 пат'!D207</f>
        <v>0.40200000000000002</v>
      </c>
    </row>
    <row r="83" spans="1:5" ht="14.45" customHeight="1" x14ac:dyDescent="0.25">
      <c r="A83" s="723"/>
      <c r="B83" s="725"/>
      <c r="C83" s="152" t="str">
        <f>'работа 2 пат'!A208</f>
        <v>Ремонт аккустической системы</v>
      </c>
      <c r="D83" s="427" t="str">
        <f>'работа 2 пат'!B208</f>
        <v>договор</v>
      </c>
      <c r="E83" s="427">
        <f>'работа 2 пат'!D208</f>
        <v>0.40200000000000002</v>
      </c>
    </row>
    <row r="84" spans="1:5" ht="12" customHeight="1" x14ac:dyDescent="0.25">
      <c r="A84" s="723"/>
      <c r="B84" s="725"/>
      <c r="C84" s="605" t="s">
        <v>161</v>
      </c>
      <c r="D84" s="606"/>
      <c r="E84" s="607"/>
    </row>
    <row r="85" spans="1:5" ht="14.45" customHeight="1" x14ac:dyDescent="0.25">
      <c r="A85" s="723"/>
      <c r="B85" s="725"/>
      <c r="C85" s="153" t="str">
        <f>'работа 3 добр'!A158</f>
        <v>Договор ВЗ (связь по краю)</v>
      </c>
      <c r="D85" s="111" t="s">
        <v>100</v>
      </c>
      <c r="E85" s="323">
        <f>'работа 2 пат'!D163</f>
        <v>0.40200000000000002</v>
      </c>
    </row>
    <row r="86" spans="1:5" ht="12" customHeight="1" x14ac:dyDescent="0.25">
      <c r="A86" s="723"/>
      <c r="B86" s="725"/>
      <c r="C86" s="153" t="str">
        <f>'работа 3 добр'!A159</f>
        <v>Абоненская плата за услуги связи, номеров</v>
      </c>
      <c r="D86" s="111" t="s">
        <v>22</v>
      </c>
      <c r="E86" s="323">
        <f>'работа 2 пат'!D164</f>
        <v>0.40200000000000002</v>
      </c>
    </row>
    <row r="87" spans="1:5" ht="12" customHeight="1" x14ac:dyDescent="0.25">
      <c r="A87" s="723"/>
      <c r="B87" s="725"/>
      <c r="C87" s="153" t="str">
        <f>'работа 3 добр'!A160</f>
        <v>Абоненская плата за услуги Интернет кайтнет</v>
      </c>
      <c r="D87" s="111" t="s">
        <v>37</v>
      </c>
      <c r="E87" s="323">
        <f>'работа 2 пат'!D165</f>
        <v>0.40200000000000002</v>
      </c>
    </row>
    <row r="88" spans="1:5" ht="12" customHeight="1" x14ac:dyDescent="0.25">
      <c r="A88" s="723"/>
      <c r="B88" s="725"/>
      <c r="C88" s="153" t="str">
        <f>'работа 3 добр'!A161</f>
        <v>Абоненская плата за услуги Интернет ИП Крамаренко:</v>
      </c>
      <c r="D88" s="111" t="s">
        <v>37</v>
      </c>
      <c r="E88" s="323">
        <f>'работа 2 пат'!D166</f>
        <v>0.40200000000000002</v>
      </c>
    </row>
    <row r="89" spans="1:5" ht="12" customHeight="1" x14ac:dyDescent="0.25">
      <c r="A89" s="723"/>
      <c r="B89" s="725"/>
      <c r="C89" s="153" t="str">
        <f>'работа 3 добр'!A162</f>
        <v>Тариф Бизнес начальный</v>
      </c>
      <c r="D89" s="111" t="s">
        <v>38</v>
      </c>
      <c r="E89" s="323">
        <f>'работа 2 пат'!D167</f>
        <v>0.40200000000000002</v>
      </c>
    </row>
    <row r="90" spans="1:5" ht="12" customHeight="1" x14ac:dyDescent="0.25">
      <c r="A90" s="723"/>
      <c r="B90" s="725"/>
      <c r="C90" s="153" t="str">
        <f>'работа 3 добр'!A163</f>
        <v>Тариф Бизнес</v>
      </c>
      <c r="D90" s="111" t="s">
        <v>38</v>
      </c>
      <c r="E90" s="323">
        <f>'работа 2 пат'!D168</f>
        <v>0.40200000000000002</v>
      </c>
    </row>
    <row r="91" spans="1:5" ht="12" customHeight="1" x14ac:dyDescent="0.25">
      <c r="A91" s="723"/>
      <c r="B91" s="725"/>
      <c r="C91" s="153" t="str">
        <f>'работа 3 добр'!A164</f>
        <v>Почтовые услуги</v>
      </c>
      <c r="D91" s="111" t="s">
        <v>22</v>
      </c>
      <c r="E91" s="323">
        <f>'работа 2 пат'!D169</f>
        <v>0.40200000000000002</v>
      </c>
    </row>
    <row r="92" spans="1:5" ht="12" customHeight="1" x14ac:dyDescent="0.25">
      <c r="A92" s="723"/>
      <c r="B92" s="725"/>
      <c r="C92" s="608" t="s">
        <v>162</v>
      </c>
      <c r="D92" s="609"/>
      <c r="E92" s="610"/>
    </row>
    <row r="93" spans="1:5" ht="21" customHeight="1" x14ac:dyDescent="0.25">
      <c r="A93" s="723"/>
      <c r="B93" s="725"/>
      <c r="C93" s="120" t="str">
        <f>'натур показатели 3 работа'!C78</f>
        <v>Заведующий МЦ</v>
      </c>
      <c r="D93" s="154" t="s">
        <v>166</v>
      </c>
      <c r="E93" s="282">
        <f>'работа 2 пат'!E94</f>
        <v>0.40200000000000002</v>
      </c>
    </row>
    <row r="94" spans="1:5" ht="12" customHeight="1" x14ac:dyDescent="0.25">
      <c r="A94" s="723"/>
      <c r="B94" s="725"/>
      <c r="C94" s="132" t="s">
        <v>164</v>
      </c>
      <c r="D94" s="154" t="s">
        <v>157</v>
      </c>
      <c r="E94" s="282">
        <f>'работа 2 пат'!E95</f>
        <v>0.40200000000000002</v>
      </c>
    </row>
    <row r="95" spans="1:5" ht="12" customHeight="1" x14ac:dyDescent="0.25">
      <c r="A95" s="723"/>
      <c r="B95" s="725"/>
      <c r="C95" s="132" t="s">
        <v>101</v>
      </c>
      <c r="D95" s="154" t="s">
        <v>157</v>
      </c>
      <c r="E95" s="282">
        <f>'работа 2 пат'!E96</f>
        <v>0.20100000000000001</v>
      </c>
    </row>
    <row r="96" spans="1:5" ht="12" customHeight="1" x14ac:dyDescent="0.25">
      <c r="A96" s="723"/>
      <c r="B96" s="725"/>
      <c r="C96" s="132" t="s">
        <v>165</v>
      </c>
      <c r="D96" s="154" t="s">
        <v>157</v>
      </c>
      <c r="E96" s="282">
        <f>'работа 2 пат'!E97</f>
        <v>0.40200000000000002</v>
      </c>
    </row>
    <row r="97" spans="1:5" ht="12" customHeight="1" x14ac:dyDescent="0.25">
      <c r="A97" s="723"/>
      <c r="B97" s="725"/>
      <c r="C97" s="461" t="s">
        <v>169</v>
      </c>
      <c r="D97" s="462"/>
      <c r="E97" s="463"/>
    </row>
    <row r="98" spans="1:5" ht="28.15" customHeight="1" x14ac:dyDescent="0.25">
      <c r="A98" s="723"/>
      <c r="B98" s="725"/>
      <c r="C98" s="134" t="str">
        <f>'работа 3 добр'!A124</f>
        <v>Пособие по уходу за ребенком до 3-х лет</v>
      </c>
      <c r="D98" s="135" t="s">
        <v>141</v>
      </c>
      <c r="E98" s="324">
        <f>E93</f>
        <v>0.40200000000000002</v>
      </c>
    </row>
    <row r="99" spans="1:5" ht="28.15" customHeight="1" x14ac:dyDescent="0.25">
      <c r="A99" s="723"/>
      <c r="B99" s="725"/>
      <c r="C99" s="134" t="str">
        <f>'работа 3 добр'!A125</f>
        <v>выплата пособия на период трудоустройства (Остропицкая)</v>
      </c>
      <c r="D99" s="135" t="s">
        <v>141</v>
      </c>
      <c r="E99" s="324">
        <f t="shared" ref="E99:E101" si="0">E94</f>
        <v>0.40200000000000002</v>
      </c>
    </row>
    <row r="100" spans="1:5" ht="28.15" customHeight="1" x14ac:dyDescent="0.25">
      <c r="A100" s="723"/>
      <c r="B100" s="725"/>
      <c r="C100" s="134" t="str">
        <f>'работа 3 добр'!A126</f>
        <v>выплата пособия на период трудоустройства (Королёва)</v>
      </c>
      <c r="D100" s="135" t="s">
        <v>141</v>
      </c>
      <c r="E100" s="324">
        <v>0.40200000000000002</v>
      </c>
    </row>
    <row r="101" spans="1:5" ht="28.15" customHeight="1" x14ac:dyDescent="0.25">
      <c r="A101" s="723"/>
      <c r="B101" s="725"/>
      <c r="C101" s="134" t="str">
        <f>'работа 3 добр'!A127</f>
        <v>выплата пособия на период трудоустройства (Ахмерова)</v>
      </c>
      <c r="D101" s="135" t="s">
        <v>141</v>
      </c>
      <c r="E101" s="324">
        <f t="shared" si="0"/>
        <v>0.40200000000000002</v>
      </c>
    </row>
    <row r="102" spans="1:5" ht="25.9" customHeight="1" x14ac:dyDescent="0.25">
      <c r="A102" s="723"/>
      <c r="B102" s="725"/>
      <c r="C102" s="608" t="s">
        <v>170</v>
      </c>
      <c r="D102" s="609"/>
      <c r="E102" s="610"/>
    </row>
    <row r="103" spans="1:5" ht="40.15" customHeight="1" x14ac:dyDescent="0.25">
      <c r="A103" s="723"/>
      <c r="B103" s="725"/>
      <c r="C103" s="133" t="s">
        <v>304</v>
      </c>
      <c r="D103" s="111" t="s">
        <v>39</v>
      </c>
      <c r="E103" s="321">
        <f>'работа 2 пат'!E153</f>
        <v>0.40200000000000002</v>
      </c>
    </row>
    <row r="104" spans="1:5" ht="25.9" customHeight="1" x14ac:dyDescent="0.25">
      <c r="A104" s="723"/>
      <c r="B104" s="725"/>
      <c r="C104" s="133" t="s">
        <v>305</v>
      </c>
      <c r="D104" s="111" t="s">
        <v>39</v>
      </c>
      <c r="E104" s="321">
        <f>'работа 2 пат'!E154</f>
        <v>0.40200000000000002</v>
      </c>
    </row>
    <row r="105" spans="1:5" ht="24" customHeight="1" x14ac:dyDescent="0.25">
      <c r="A105" s="723"/>
      <c r="B105" s="725"/>
      <c r="C105" s="133" t="s">
        <v>306</v>
      </c>
      <c r="D105" s="111" t="s">
        <v>39</v>
      </c>
      <c r="E105" s="321">
        <f>'работа 2 пат'!E155</f>
        <v>0.40200000000000002</v>
      </c>
    </row>
    <row r="106" spans="1:5" ht="21" customHeight="1" x14ac:dyDescent="0.25">
      <c r="A106" s="723"/>
      <c r="B106" s="725"/>
      <c r="C106" s="464" t="s">
        <v>171</v>
      </c>
      <c r="D106" s="465"/>
      <c r="E106" s="466"/>
    </row>
    <row r="107" spans="1:5" ht="18.600000000000001" customHeight="1" x14ac:dyDescent="0.25">
      <c r="A107" s="723"/>
      <c r="B107" s="725"/>
      <c r="C107" s="136" t="str">
        <f>'работа 3 добр'!A172</f>
        <v>Провоз груза 2000 кг (1 кг=9,50 руб)</v>
      </c>
      <c r="D107" s="137" t="s">
        <v>22</v>
      </c>
      <c r="E107" s="88">
        <f>'работа 2 пат'!D177</f>
        <v>0.40200000000000002</v>
      </c>
    </row>
    <row r="108" spans="1:5" ht="12" customHeight="1" x14ac:dyDescent="0.25">
      <c r="A108" s="723"/>
      <c r="B108" s="725"/>
      <c r="C108" s="605" t="s">
        <v>172</v>
      </c>
      <c r="D108" s="606"/>
      <c r="E108" s="607"/>
    </row>
    <row r="109" spans="1:5" ht="14.45" customHeight="1" x14ac:dyDescent="0.25">
      <c r="A109" s="723"/>
      <c r="B109" s="725"/>
      <c r="C109" s="123" t="str">
        <f>'натур показатели 3 работа'!C95</f>
        <v>Обучение персонала</v>
      </c>
      <c r="D109" s="69" t="str">
        <f>'натур показатели 3 работа'!D95</f>
        <v>договор</v>
      </c>
      <c r="E109" s="185">
        <f>'работа 2 пат'!D215</f>
        <v>2.0100000000000002</v>
      </c>
    </row>
    <row r="110" spans="1:5" ht="25.15" customHeight="1" x14ac:dyDescent="0.25">
      <c r="A110" s="723"/>
      <c r="B110" s="725"/>
      <c r="C110" s="123" t="str">
        <f>'натур показатели 3 работа'!C96</f>
        <v>Услуги СЕМИС подписка</v>
      </c>
      <c r="D110" s="69" t="str">
        <f>'натур показатели 3 работа'!D96</f>
        <v>договор</v>
      </c>
      <c r="E110" s="185">
        <f>'работа 2 пат'!D216</f>
        <v>0.40200000000000002</v>
      </c>
    </row>
    <row r="111" spans="1:5" ht="12" customHeight="1" x14ac:dyDescent="0.25">
      <c r="A111" s="723"/>
      <c r="B111" s="725"/>
      <c r="C111" s="123" t="str">
        <f>'натур показатели 3 работа'!C97</f>
        <v xml:space="preserve">Обслуживание систем пожарной сигнализации  </v>
      </c>
      <c r="D111" s="69" t="str">
        <f>'натур показатели 3 работа'!D97</f>
        <v>договор</v>
      </c>
      <c r="E111" s="185">
        <f>'работа 2 пат'!D217</f>
        <v>4.8239999999999998</v>
      </c>
    </row>
    <row r="112" spans="1:5" ht="12" customHeight="1" x14ac:dyDescent="0.25">
      <c r="A112" s="723"/>
      <c r="B112" s="725"/>
      <c r="C112" s="123" t="str">
        <f>'натур показатели 3 работа'!C98</f>
        <v xml:space="preserve">Обслуживание систем видеонаблюдения </v>
      </c>
      <c r="D112" s="69" t="str">
        <f>'натур показатели 3 работа'!D98</f>
        <v>договор</v>
      </c>
      <c r="E112" s="185">
        <f>'работа 2 пат'!D218</f>
        <v>4.8239999999999998</v>
      </c>
    </row>
    <row r="113" spans="1:5" ht="12" customHeight="1" x14ac:dyDescent="0.25">
      <c r="A113" s="723"/>
      <c r="B113" s="725"/>
      <c r="C113" s="123" t="str">
        <f>'натур показатели 3 работа'!C99</f>
        <v>Предрейсовое медицинское обследование 247дней*90руб</v>
      </c>
      <c r="D113" s="69" t="str">
        <f>'натур показатели 3 работа'!D99</f>
        <v>договор</v>
      </c>
      <c r="E113" s="185">
        <f>'работа 2 пат'!D219</f>
        <v>0.40200000000000002</v>
      </c>
    </row>
    <row r="114" spans="1:5" ht="12" customHeight="1" x14ac:dyDescent="0.25">
      <c r="A114" s="723"/>
      <c r="B114" s="725"/>
      <c r="C114" s="123" t="str">
        <f>'натур показатели 3 работа'!C100</f>
        <v xml:space="preserve">Услуги охраны  </v>
      </c>
      <c r="D114" s="69" t="str">
        <f>'натур показатели 3 работа'!D100</f>
        <v>договор</v>
      </c>
      <c r="E114" s="185">
        <f>'работа 2 пат'!D220</f>
        <v>4.8239999999999998</v>
      </c>
    </row>
    <row r="115" spans="1:5" ht="12" customHeight="1" x14ac:dyDescent="0.25">
      <c r="A115" s="723"/>
      <c r="B115" s="725"/>
      <c r="C115" s="123" t="str">
        <f>'натур показатели 3 работа'!C101</f>
        <v>Обслуживание систем охранных средств сигнализации (тревожная кнопка)</v>
      </c>
      <c r="D115" s="69" t="str">
        <f>'натур показатели 3 работа'!D101</f>
        <v>договор</v>
      </c>
      <c r="E115" s="185">
        <f>'работа 2 пат'!D221</f>
        <v>4.8239999999999998</v>
      </c>
    </row>
    <row r="116" spans="1:5" ht="22.15" customHeight="1" x14ac:dyDescent="0.25">
      <c r="A116" s="723"/>
      <c r="B116" s="725"/>
      <c r="C116" s="123" t="str">
        <f>'натур показатели 3 работа'!C102</f>
        <v>Организация светового сопровождения мероприятия</v>
      </c>
      <c r="D116" s="69" t="str">
        <f>'натур показатели 3 работа'!D102</f>
        <v>договор</v>
      </c>
      <c r="E116" s="185">
        <f>'работа 2 пат'!D222</f>
        <v>0.40200000000000002</v>
      </c>
    </row>
    <row r="117" spans="1:5" ht="12" customHeight="1" x14ac:dyDescent="0.25">
      <c r="A117" s="723"/>
      <c r="B117" s="725"/>
      <c r="C117" s="123" t="str">
        <f>'натур показатели 3 работа'!C103</f>
        <v xml:space="preserve">Заключение договора на прохождение предварительного мед осмотра сотрудниками </v>
      </c>
      <c r="D117" s="69" t="str">
        <f>'натур показатели 3 работа'!D103</f>
        <v>договор</v>
      </c>
      <c r="E117" s="185">
        <f>'работа 2 пат'!D223</f>
        <v>2.4119999999999999</v>
      </c>
    </row>
    <row r="118" spans="1:5" ht="22.15" customHeight="1" x14ac:dyDescent="0.25">
      <c r="A118" s="723"/>
      <c r="B118" s="725"/>
      <c r="C118" s="123" t="str">
        <f>'натур показатели 3 работа'!C104</f>
        <v>Прохождение периодического мед осмотра водителем</v>
      </c>
      <c r="D118" s="69" t="str">
        <f>'натур показатели 3 работа'!D104</f>
        <v>договор</v>
      </c>
      <c r="E118" s="185">
        <f>'работа 2 пат'!D224</f>
        <v>0.40200000000000002</v>
      </c>
    </row>
    <row r="119" spans="1:5" ht="12" customHeight="1" x14ac:dyDescent="0.25">
      <c r="A119" s="723"/>
      <c r="B119" s="725"/>
      <c r="C119" s="123" t="str">
        <f>'натур показатели 3 работа'!C105</f>
        <v>Страховая премия по полису ОСАГО за УАЗ</v>
      </c>
      <c r="D119" s="69" t="str">
        <f>'натур показатели 3 работа'!D105</f>
        <v>договор</v>
      </c>
      <c r="E119" s="185">
        <f>'работа 2 пат'!D225</f>
        <v>0.40200000000000002</v>
      </c>
    </row>
    <row r="120" spans="1:5" ht="12" customHeight="1" x14ac:dyDescent="0.25">
      <c r="A120" s="723"/>
      <c r="B120" s="725"/>
      <c r="C120" s="123" t="str">
        <f>'натур показатели 3 работа'!C106</f>
        <v>Microsoft Windows</v>
      </c>
      <c r="D120" s="69" t="str">
        <f>'натур показатели 3 работа'!D106</f>
        <v>договор</v>
      </c>
      <c r="E120" s="185">
        <f>'работа 2 пат'!D226</f>
        <v>2.8140000000000001</v>
      </c>
    </row>
    <row r="121" spans="1:5" ht="12" customHeight="1" x14ac:dyDescent="0.25">
      <c r="A121" s="723"/>
      <c r="B121" s="725"/>
      <c r="C121" s="123" t="str">
        <f>'натур показатели 3 работа'!C107</f>
        <v>Microsoft Offise</v>
      </c>
      <c r="D121" s="69" t="str">
        <f>'натур показатели 3 работа'!D107</f>
        <v>договор</v>
      </c>
      <c r="E121" s="185">
        <f>'работа 2 пат'!D227</f>
        <v>0.80400000000000005</v>
      </c>
    </row>
    <row r="122" spans="1:5" ht="12" customHeight="1" x14ac:dyDescent="0.25">
      <c r="A122" s="723"/>
      <c r="B122" s="725"/>
      <c r="C122" s="123" t="str">
        <f>'натур показатели 3 работа'!C108</f>
        <v>Dr Web Security</v>
      </c>
      <c r="D122" s="69" t="str">
        <f>'натур показатели 3 работа'!D108</f>
        <v>договор</v>
      </c>
      <c r="E122" s="185">
        <f>'работа 2 пат'!D228</f>
        <v>0.40200000000000002</v>
      </c>
    </row>
    <row r="123" spans="1:5" ht="12" customHeight="1" x14ac:dyDescent="0.25">
      <c r="A123" s="723"/>
      <c r="B123" s="725"/>
      <c r="C123" s="123" t="str">
        <f>'натур показатели 3 работа'!C109</f>
        <v>Dr Web Security Spase</v>
      </c>
      <c r="D123" s="69" t="str">
        <f>'натур показатели 3 работа'!D109</f>
        <v>договор</v>
      </c>
      <c r="E123" s="185">
        <f>'работа 2 пат'!D229</f>
        <v>0.40200000000000002</v>
      </c>
    </row>
    <row r="124" spans="1:5" ht="12" customHeight="1" x14ac:dyDescent="0.25">
      <c r="A124" s="723"/>
      <c r="B124" s="725"/>
      <c r="C124" s="123" t="str">
        <f>'натур показатели 3 работа'!C110</f>
        <v>Оплата гос пошлины</v>
      </c>
      <c r="D124" s="69" t="str">
        <f>'натур показатели 3 работа'!D110</f>
        <v>ед</v>
      </c>
      <c r="E124" s="185">
        <f>'работа 2 пат'!D230</f>
        <v>0.40200000000000002</v>
      </c>
    </row>
    <row r="125" spans="1:5" ht="12" customHeight="1" x14ac:dyDescent="0.25">
      <c r="A125" s="723"/>
      <c r="B125" s="725"/>
      <c r="C125" s="123" t="str">
        <f>'натур показатели 3 работа'!C111</f>
        <v xml:space="preserve">Оплата за негативное воздействие </v>
      </c>
      <c r="D125" s="69" t="str">
        <f>'натур показатели 3 работа'!D111</f>
        <v>ед</v>
      </c>
      <c r="E125" s="185">
        <f>'работа 2 пат'!D231</f>
        <v>0.40200000000000002</v>
      </c>
    </row>
    <row r="126" spans="1:5" ht="12" customHeight="1" x14ac:dyDescent="0.25">
      <c r="A126" s="723"/>
      <c r="B126" s="725"/>
      <c r="C126" s="123" t="str">
        <f>'натур показатели 3 работа'!C112</f>
        <v>ПУГНП</v>
      </c>
      <c r="D126" s="69" t="str">
        <f>'натур показатели 3 работа'!D112</f>
        <v>шт</v>
      </c>
      <c r="E126" s="185">
        <f>'работа 2 пат'!D232</f>
        <v>20.100000000000001</v>
      </c>
    </row>
    <row r="127" spans="1:5" ht="12" customHeight="1" x14ac:dyDescent="0.25">
      <c r="A127" s="723"/>
      <c r="B127" s="725"/>
      <c r="C127" s="123" t="str">
        <f>'натур показатели 3 работа'!C113</f>
        <v>пакет майка</v>
      </c>
      <c r="D127" s="69" t="str">
        <f>'натур показатели 3 работа'!D113</f>
        <v>шт</v>
      </c>
      <c r="E127" s="185">
        <f>'работа 2 пат'!D233</f>
        <v>0.40200000000000002</v>
      </c>
    </row>
    <row r="128" spans="1:5" ht="12" customHeight="1" x14ac:dyDescent="0.25">
      <c r="A128" s="723"/>
      <c r="B128" s="725"/>
      <c r="C128" s="123" t="str">
        <f>'натур показатели 3 работа'!C114</f>
        <v>розетка</v>
      </c>
      <c r="D128" s="69" t="str">
        <f>'натур показатели 3 работа'!D114</f>
        <v>шт</v>
      </c>
      <c r="E128" s="185">
        <f>'работа 2 пат'!D234</f>
        <v>2.0100000000000002</v>
      </c>
    </row>
    <row r="129" spans="1:5" ht="12" customHeight="1" x14ac:dyDescent="0.25">
      <c r="A129" s="723"/>
      <c r="B129" s="725"/>
      <c r="C129" s="123" t="str">
        <f>'натур показатели 3 работа'!C115</f>
        <v>Вилка евро</v>
      </c>
      <c r="D129" s="69" t="str">
        <f>'натур показатели 3 работа'!D115</f>
        <v>шт</v>
      </c>
      <c r="E129" s="185">
        <f>'работа 2 пат'!D235</f>
        <v>2.0100000000000002</v>
      </c>
    </row>
    <row r="130" spans="1:5" ht="12" customHeight="1" x14ac:dyDescent="0.25">
      <c r="A130" s="723"/>
      <c r="B130" s="725"/>
      <c r="C130" s="123" t="str">
        <f>'натур показатели 3 работа'!C116</f>
        <v>розетка "Пралеска"</v>
      </c>
      <c r="D130" s="69" t="str">
        <f>'натур показатели 3 работа'!D116</f>
        <v>шт</v>
      </c>
      <c r="E130" s="185">
        <f>'работа 2 пат'!D236</f>
        <v>1.206</v>
      </c>
    </row>
    <row r="131" spans="1:5" ht="12" customHeight="1" x14ac:dyDescent="0.25">
      <c r="A131" s="723"/>
      <c r="B131" s="725"/>
      <c r="C131" s="123" t="str">
        <f>'натур показатели 3 работа'!C117</f>
        <v>лампа "Онлайт"</v>
      </c>
      <c r="D131" s="69" t="str">
        <f>'натур показатели 3 работа'!D117</f>
        <v>шт</v>
      </c>
      <c r="E131" s="185">
        <f>'работа 2 пат'!D237</f>
        <v>10.452</v>
      </c>
    </row>
    <row r="132" spans="1:5" ht="12" customHeight="1" x14ac:dyDescent="0.25">
      <c r="A132" s="723"/>
      <c r="B132" s="725"/>
      <c r="C132" s="123" t="str">
        <f>'натур показатели 3 работа'!C118</f>
        <v>пугнп</v>
      </c>
      <c r="D132" s="69" t="str">
        <f>'натур показатели 3 работа'!D118</f>
        <v>шт</v>
      </c>
      <c r="E132" s="185">
        <f>'работа 2 пат'!D238</f>
        <v>2.8140000000000001</v>
      </c>
    </row>
    <row r="133" spans="1:5" ht="12" customHeight="1" x14ac:dyDescent="0.25">
      <c r="A133" s="723"/>
      <c r="B133" s="725"/>
      <c r="C133" s="123" t="str">
        <f>'натур показатели 3 работа'!C119</f>
        <v>светильник точечный</v>
      </c>
      <c r="D133" s="69" t="str">
        <f>'натур показатели 3 работа'!D119</f>
        <v>шт</v>
      </c>
      <c r="E133" s="185">
        <f>'работа 2 пат'!D239</f>
        <v>4.0200000000000005</v>
      </c>
    </row>
    <row r="134" spans="1:5" ht="12" customHeight="1" x14ac:dyDescent="0.25">
      <c r="A134" s="723"/>
      <c r="B134" s="725"/>
      <c r="C134" s="123" t="str">
        <f>'натур показатели 3 работа'!C120</f>
        <v>светильник точечный</v>
      </c>
      <c r="D134" s="69" t="str">
        <f>'натур показатели 3 работа'!D120</f>
        <v>шт</v>
      </c>
      <c r="E134" s="185">
        <f>'работа 2 пат'!D240</f>
        <v>4.0200000000000005</v>
      </c>
    </row>
    <row r="135" spans="1:5" ht="12" customHeight="1" x14ac:dyDescent="0.25">
      <c r="A135" s="723"/>
      <c r="B135" s="725"/>
      <c r="C135" s="123" t="str">
        <f>'натур показатели 3 работа'!C121</f>
        <v>светильник точечный</v>
      </c>
      <c r="D135" s="69" t="str">
        <f>'натур показатели 3 работа'!D121</f>
        <v>шт</v>
      </c>
      <c r="E135" s="185">
        <f>'работа 2 пат'!D241</f>
        <v>2.4119999999999999</v>
      </c>
    </row>
    <row r="136" spans="1:5" ht="12" customHeight="1" x14ac:dyDescent="0.25">
      <c r="A136" s="723"/>
      <c r="B136" s="725"/>
      <c r="C136" s="123" t="str">
        <f>'натур показатели 3 работа'!C122</f>
        <v>эмаль аэрозоль</v>
      </c>
      <c r="D136" s="69" t="str">
        <f>'натур показатели 3 работа'!D122</f>
        <v>шт</v>
      </c>
      <c r="E136" s="185">
        <f>'работа 2 пат'!D242</f>
        <v>0.80400000000000005</v>
      </c>
    </row>
    <row r="137" spans="1:5" ht="12" customHeight="1" x14ac:dyDescent="0.25">
      <c r="A137" s="723"/>
      <c r="B137" s="725"/>
      <c r="C137" s="123" t="str">
        <f>'натур показатели 3 работа'!C123</f>
        <v>пила сегментная</v>
      </c>
      <c r="D137" s="69" t="str">
        <f>'натур показатели 3 работа'!D123</f>
        <v>шт</v>
      </c>
      <c r="E137" s="185">
        <f>'работа 2 пат'!D243</f>
        <v>0.40200000000000002</v>
      </c>
    </row>
    <row r="138" spans="1:5" ht="12" customHeight="1" x14ac:dyDescent="0.25">
      <c r="A138" s="723"/>
      <c r="B138" s="725"/>
      <c r="C138" s="123" t="str">
        <f>'натур показатели 3 работа'!C124</f>
        <v>комплект крепежей для батареи</v>
      </c>
      <c r="D138" s="69" t="str">
        <f>'натур показатели 3 работа'!D124</f>
        <v>шт</v>
      </c>
      <c r="E138" s="185">
        <f>'работа 2 пат'!D244</f>
        <v>1.206</v>
      </c>
    </row>
    <row r="139" spans="1:5" ht="12" customHeight="1" x14ac:dyDescent="0.25">
      <c r="A139" s="723"/>
      <c r="B139" s="725"/>
      <c r="C139" s="123" t="str">
        <f>'натур показатели 3 работа'!C125</f>
        <v>набор для радиатора</v>
      </c>
      <c r="D139" s="69" t="str">
        <f>'натур показатели 3 работа'!D125</f>
        <v>шт</v>
      </c>
      <c r="E139" s="185">
        <f>'работа 2 пат'!D245</f>
        <v>1.206</v>
      </c>
    </row>
    <row r="140" spans="1:5" ht="12" customHeight="1" x14ac:dyDescent="0.25">
      <c r="A140" s="723"/>
      <c r="B140" s="725"/>
      <c r="C140" s="123" t="str">
        <f>'натур показатели 3 работа'!C126</f>
        <v>лампа "Онлайт"</v>
      </c>
      <c r="D140" s="69" t="str">
        <f>'натур показатели 3 работа'!D126</f>
        <v>шт</v>
      </c>
      <c r="E140" s="185">
        <f>'работа 2 пат'!D246</f>
        <v>2.0100000000000002</v>
      </c>
    </row>
    <row r="141" spans="1:5" ht="12" customHeight="1" x14ac:dyDescent="0.25">
      <c r="A141" s="723"/>
      <c r="B141" s="725"/>
      <c r="C141" s="123" t="str">
        <f>'натур показатели 3 работа'!C127</f>
        <v>Прожектор светодиодный</v>
      </c>
      <c r="D141" s="69" t="str">
        <f>'натур показатели 3 работа'!D127</f>
        <v>шт</v>
      </c>
      <c r="E141" s="185">
        <f>'работа 2 пат'!D247</f>
        <v>0.80400000000000005</v>
      </c>
    </row>
    <row r="142" spans="1:5" ht="12" customHeight="1" x14ac:dyDescent="0.25">
      <c r="A142" s="723"/>
      <c r="B142" s="725"/>
      <c r="C142" s="123" t="str">
        <f>'натур показатели 3 работа'!C128</f>
        <v>скотч 48 мм</v>
      </c>
      <c r="D142" s="69" t="str">
        <f>'натур показатели 3 работа'!D128</f>
        <v>шт</v>
      </c>
      <c r="E142" s="185">
        <f>'работа 2 пат'!D248</f>
        <v>4.8239999999999998</v>
      </c>
    </row>
    <row r="143" spans="1:5" ht="12" customHeight="1" x14ac:dyDescent="0.25">
      <c r="A143" s="723"/>
      <c r="B143" s="725"/>
      <c r="C143" s="123" t="str">
        <f>'натур показатели 3 работа'!C129</f>
        <v>скотч армированный</v>
      </c>
      <c r="D143" s="69" t="str">
        <f>'натур показатели 3 работа'!D129</f>
        <v>шт</v>
      </c>
      <c r="E143" s="185">
        <f>'работа 2 пат'!D249</f>
        <v>0.80400000000000005</v>
      </c>
    </row>
    <row r="144" spans="1:5" ht="12" customHeight="1" x14ac:dyDescent="0.25">
      <c r="A144" s="723"/>
      <c r="B144" s="725"/>
      <c r="C144" s="123" t="str">
        <f>'натур показатели 3 работа'!C130</f>
        <v>эмаль аэрозоль металлик</v>
      </c>
      <c r="D144" s="69" t="str">
        <f>'натур показатели 3 работа'!D130</f>
        <v>шт</v>
      </c>
      <c r="E144" s="185">
        <f>'работа 2 пат'!D250</f>
        <v>0.40200000000000002</v>
      </c>
    </row>
    <row r="145" spans="1:5" ht="12" customHeight="1" x14ac:dyDescent="0.25">
      <c r="A145" s="723"/>
      <c r="B145" s="725"/>
      <c r="C145" s="123" t="str">
        <f>'натур показатели 3 работа'!C131</f>
        <v>эмаль аэрозоль коричн</v>
      </c>
      <c r="D145" s="69" t="str">
        <f>'натур показатели 3 работа'!D131</f>
        <v>шт</v>
      </c>
      <c r="E145" s="185">
        <f>'работа 2 пат'!D251</f>
        <v>0.40200000000000002</v>
      </c>
    </row>
    <row r="146" spans="1:5" ht="12" customHeight="1" x14ac:dyDescent="0.25">
      <c r="A146" s="723"/>
      <c r="B146" s="725"/>
      <c r="C146" s="123" t="str">
        <f>'натур показатели 3 работа'!C132</f>
        <v>эмаль разн цвет</v>
      </c>
      <c r="D146" s="69" t="str">
        <f>'натур показатели 3 работа'!D132</f>
        <v>шт</v>
      </c>
      <c r="E146" s="185">
        <f>'работа 2 пат'!D252</f>
        <v>1.6080000000000001</v>
      </c>
    </row>
    <row r="147" spans="1:5" ht="12" customHeight="1" x14ac:dyDescent="0.25">
      <c r="A147" s="723"/>
      <c r="B147" s="725"/>
      <c r="C147" s="123" t="str">
        <f>'натур показатели 3 работа'!C133</f>
        <v>скоба</v>
      </c>
      <c r="D147" s="69" t="str">
        <f>'натур показатели 3 работа'!D133</f>
        <v>шт</v>
      </c>
      <c r="E147" s="185">
        <f>'работа 2 пат'!D253</f>
        <v>2.0100000000000002</v>
      </c>
    </row>
    <row r="148" spans="1:5" ht="12" customHeight="1" x14ac:dyDescent="0.25">
      <c r="A148" s="723"/>
      <c r="B148" s="725"/>
      <c r="C148" s="123" t="str">
        <f>'натур показатели 3 работа'!C134</f>
        <v>стяжка для провода</v>
      </c>
      <c r="D148" s="69" t="str">
        <f>'натур показатели 3 работа'!D134</f>
        <v>шт</v>
      </c>
      <c r="E148" s="185">
        <f>'работа 2 пат'!D254</f>
        <v>0.80400000000000005</v>
      </c>
    </row>
    <row r="149" spans="1:5" ht="12" customHeight="1" x14ac:dyDescent="0.25">
      <c r="A149" s="723"/>
      <c r="B149" s="725"/>
      <c r="C149" s="123" t="str">
        <f>'натур показатели 3 работа'!C135</f>
        <v>стяжка для провода</v>
      </c>
      <c r="D149" s="69" t="str">
        <f>'натур показатели 3 работа'!D135</f>
        <v>шт</v>
      </c>
      <c r="E149" s="185">
        <f>'работа 2 пат'!D255</f>
        <v>0.80400000000000005</v>
      </c>
    </row>
    <row r="150" spans="1:5" ht="12" customHeight="1" x14ac:dyDescent="0.25">
      <c r="A150" s="723"/>
      <c r="B150" s="725"/>
      <c r="C150" s="123" t="str">
        <f>'натур показатели 3 работа'!C136</f>
        <v>дюбель</v>
      </c>
      <c r="D150" s="69" t="str">
        <f>'натур показатели 3 работа'!D136</f>
        <v>шт</v>
      </c>
      <c r="E150" s="185">
        <f>'работа 2 пат'!D256</f>
        <v>79.998000000000005</v>
      </c>
    </row>
    <row r="151" spans="1:5" ht="12" customHeight="1" x14ac:dyDescent="0.25">
      <c r="A151" s="723"/>
      <c r="B151" s="725"/>
      <c r="C151" s="123" t="str">
        <f>'натур показатели 3 работа'!C137</f>
        <v>бокорезы</v>
      </c>
      <c r="D151" s="69" t="str">
        <f>'натур показатели 3 работа'!D137</f>
        <v>шт</v>
      </c>
      <c r="E151" s="185">
        <f>'работа 2 пат'!D257</f>
        <v>0.40200000000000002</v>
      </c>
    </row>
    <row r="152" spans="1:5" ht="12" customHeight="1" x14ac:dyDescent="0.25">
      <c r="A152" s="723"/>
      <c r="B152" s="725"/>
      <c r="C152" s="123" t="str">
        <f>'натур показатели 3 работа'!C138</f>
        <v>плоскогубцы</v>
      </c>
      <c r="D152" s="69" t="str">
        <f>'натур показатели 3 работа'!D138</f>
        <v>шт</v>
      </c>
      <c r="E152" s="185">
        <f>'работа 2 пат'!D258</f>
        <v>0.40200000000000002</v>
      </c>
    </row>
    <row r="153" spans="1:5" ht="12" customHeight="1" x14ac:dyDescent="0.25">
      <c r="A153" s="723"/>
      <c r="B153" s="725"/>
      <c r="C153" s="123" t="str">
        <f>'натур показатели 3 работа'!C139</f>
        <v>бита</v>
      </c>
      <c r="D153" s="69" t="str">
        <f>'натур показатели 3 работа'!D139</f>
        <v>шт</v>
      </c>
      <c r="E153" s="185">
        <f>'работа 2 пат'!D259</f>
        <v>0.40200000000000002</v>
      </c>
    </row>
    <row r="154" spans="1:5" ht="12" customHeight="1" x14ac:dyDescent="0.25">
      <c r="A154" s="723"/>
      <c r="B154" s="725"/>
      <c r="C154" s="123" t="str">
        <f>'натур показатели 3 работа'!C140</f>
        <v>бита</v>
      </c>
      <c r="D154" s="69" t="str">
        <f>'натур показатели 3 работа'!D140</f>
        <v>шт</v>
      </c>
      <c r="E154" s="185">
        <f>'работа 2 пат'!D260</f>
        <v>0.40200000000000002</v>
      </c>
    </row>
    <row r="155" spans="1:5" ht="12" customHeight="1" x14ac:dyDescent="0.25">
      <c r="A155" s="723"/>
      <c r="B155" s="725"/>
      <c r="C155" s="123" t="str">
        <f>'натур показатели 3 работа'!C141</f>
        <v>угольник</v>
      </c>
      <c r="D155" s="69" t="str">
        <f>'натур показатели 3 работа'!D141</f>
        <v>шт</v>
      </c>
      <c r="E155" s="185">
        <f>'работа 2 пат'!D261</f>
        <v>0.40200000000000002</v>
      </c>
    </row>
    <row r="156" spans="1:5" ht="12" customHeight="1" x14ac:dyDescent="0.25">
      <c r="A156" s="723"/>
      <c r="B156" s="725"/>
      <c r="C156" s="123" t="str">
        <f>'натур показатели 3 работа'!C142</f>
        <v>угольник</v>
      </c>
      <c r="D156" s="69" t="str">
        <f>'натур показатели 3 работа'!D142</f>
        <v>шт</v>
      </c>
      <c r="E156" s="185">
        <f>'работа 2 пат'!D262</f>
        <v>0.40200000000000002</v>
      </c>
    </row>
    <row r="157" spans="1:5" ht="12" customHeight="1" x14ac:dyDescent="0.25">
      <c r="A157" s="723"/>
      <c r="B157" s="725"/>
      <c r="C157" s="123" t="str">
        <f>'натур показатели 3 работа'!C143</f>
        <v>штангенциркуль</v>
      </c>
      <c r="D157" s="69" t="str">
        <f>'натур показатели 3 работа'!D143</f>
        <v>шт</v>
      </c>
      <c r="E157" s="185">
        <f>'работа 2 пат'!D263</f>
        <v>0.40200000000000002</v>
      </c>
    </row>
    <row r="158" spans="1:5" ht="12" customHeight="1" x14ac:dyDescent="0.25">
      <c r="A158" s="723"/>
      <c r="B158" s="725"/>
      <c r="C158" s="123" t="str">
        <f>'натур показатели 3 работа'!C144</f>
        <v>пугнп 2*1,5</v>
      </c>
      <c r="D158" s="69" t="str">
        <f>'натур показатели 3 работа'!D144</f>
        <v>шт</v>
      </c>
      <c r="E158" s="185">
        <f>'работа 2 пат'!D264</f>
        <v>80.400000000000006</v>
      </c>
    </row>
    <row r="159" spans="1:5" ht="12" customHeight="1" x14ac:dyDescent="0.25">
      <c r="A159" s="723"/>
      <c r="B159" s="725"/>
      <c r="C159" s="123" t="str">
        <f>'натур показатели 3 работа'!C145</f>
        <v>пугнп 2*2,5</v>
      </c>
      <c r="D159" s="69" t="str">
        <f>'натур показатели 3 работа'!D145</f>
        <v>шт</v>
      </c>
      <c r="E159" s="185">
        <f>'работа 2 пат'!D265</f>
        <v>80.400000000000006</v>
      </c>
    </row>
    <row r="160" spans="1:5" ht="12" customHeight="1" x14ac:dyDescent="0.25">
      <c r="A160" s="723"/>
      <c r="B160" s="725"/>
      <c r="C160" s="123" t="str">
        <f>'натур показатели 3 работа'!C146</f>
        <v>зажимы</v>
      </c>
      <c r="D160" s="69" t="str">
        <f>'натур показатели 3 работа'!D146</f>
        <v>шт</v>
      </c>
      <c r="E160" s="185">
        <f>'работа 2 пат'!D266</f>
        <v>2.0100000000000002</v>
      </c>
    </row>
    <row r="161" spans="1:5" ht="12" customHeight="1" x14ac:dyDescent="0.25">
      <c r="A161" s="723"/>
      <c r="B161" s="725"/>
      <c r="C161" s="123" t="str">
        <f>'натур показатели 3 работа'!C147</f>
        <v>коробка установочная</v>
      </c>
      <c r="D161" s="69" t="str">
        <f>'натур показатели 3 работа'!D147</f>
        <v>шт</v>
      </c>
      <c r="E161" s="185">
        <f>'работа 2 пат'!D267</f>
        <v>4.0200000000000005</v>
      </c>
    </row>
    <row r="162" spans="1:5" ht="12" customHeight="1" x14ac:dyDescent="0.25">
      <c r="A162" s="723"/>
      <c r="B162" s="725"/>
      <c r="C162" s="123" t="str">
        <f>'натур показатели 3 работа'!C148</f>
        <v>розетка</v>
      </c>
      <c r="D162" s="69" t="str">
        <f>'натур показатели 3 работа'!D148</f>
        <v>шт</v>
      </c>
      <c r="E162" s="185">
        <f>'работа 2 пат'!D268</f>
        <v>4.0200000000000005</v>
      </c>
    </row>
    <row r="163" spans="1:5" ht="12" customHeight="1" x14ac:dyDescent="0.25">
      <c r="A163" s="723"/>
      <c r="B163" s="725"/>
      <c r="C163" s="123" t="str">
        <f>'натур показатели 3 работа'!C149</f>
        <v>розетка</v>
      </c>
      <c r="D163" s="69" t="str">
        <f>'натур показатели 3 работа'!D149</f>
        <v>шт</v>
      </c>
      <c r="E163" s="185">
        <f>'работа 2 пат'!D269</f>
        <v>2.0100000000000002</v>
      </c>
    </row>
    <row r="164" spans="1:5" ht="12" customHeight="1" x14ac:dyDescent="0.25">
      <c r="A164" s="723"/>
      <c r="B164" s="725"/>
      <c r="C164" s="123" t="str">
        <f>'натур показатели 3 работа'!C150</f>
        <v>вилка прямая</v>
      </c>
      <c r="D164" s="69" t="str">
        <f>'натур показатели 3 работа'!D150</f>
        <v>шт</v>
      </c>
      <c r="E164" s="185">
        <f>'работа 2 пат'!D270</f>
        <v>0.40200000000000002</v>
      </c>
    </row>
    <row r="165" spans="1:5" ht="12" customHeight="1" x14ac:dyDescent="0.25">
      <c r="A165" s="723"/>
      <c r="B165" s="725"/>
      <c r="C165" s="123" t="str">
        <f>'натур показатели 3 работа'!C151</f>
        <v>вилка белая</v>
      </c>
      <c r="D165" s="69" t="str">
        <f>'натур показатели 3 работа'!D151</f>
        <v>шт</v>
      </c>
      <c r="E165" s="185">
        <f>'работа 2 пат'!D271</f>
        <v>1.6080000000000001</v>
      </c>
    </row>
    <row r="166" spans="1:5" ht="12" customHeight="1" x14ac:dyDescent="0.25">
      <c r="A166" s="723"/>
      <c r="B166" s="725"/>
      <c r="C166" s="123" t="str">
        <f>'натур показатели 3 работа'!C152</f>
        <v>саморез 3,5*51</v>
      </c>
      <c r="D166" s="69" t="str">
        <f>'натур показатели 3 работа'!D152</f>
        <v>шт</v>
      </c>
      <c r="E166" s="185">
        <f>'работа 2 пат'!D272</f>
        <v>293.46000000000004</v>
      </c>
    </row>
    <row r="167" spans="1:5" ht="12" customHeight="1" x14ac:dyDescent="0.25">
      <c r="A167" s="723"/>
      <c r="B167" s="725"/>
      <c r="C167" s="123" t="str">
        <f>'натур показатели 3 работа'!C153</f>
        <v>саморез 4,2*70</v>
      </c>
      <c r="D167" s="69" t="str">
        <f>'натур показатели 3 работа'!D153</f>
        <v>шт</v>
      </c>
      <c r="E167" s="185">
        <f>'работа 2 пат'!D273</f>
        <v>361.8</v>
      </c>
    </row>
    <row r="168" spans="1:5" ht="12" customHeight="1" x14ac:dyDescent="0.25">
      <c r="A168" s="723"/>
      <c r="B168" s="725"/>
      <c r="C168" s="123" t="str">
        <f>'натур показатели 3 работа'!C154</f>
        <v>набор пилок</v>
      </c>
      <c r="D168" s="69" t="str">
        <f>'натур показатели 3 работа'!D154</f>
        <v>шт</v>
      </c>
      <c r="E168" s="185">
        <f>'работа 2 пат'!D274</f>
        <v>1.206</v>
      </c>
    </row>
    <row r="169" spans="1:5" ht="12" customHeight="1" x14ac:dyDescent="0.25">
      <c r="A169" s="723"/>
      <c r="B169" s="725"/>
      <c r="C169" s="123" t="str">
        <f>'натур показатели 3 работа'!C155</f>
        <v>комплект радиатора</v>
      </c>
      <c r="D169" s="69" t="str">
        <f>'натур показатели 3 работа'!D155</f>
        <v>шт</v>
      </c>
      <c r="E169" s="185">
        <f>'работа 2 пат'!D275</f>
        <v>4.0200000000000005</v>
      </c>
    </row>
    <row r="170" spans="1:5" ht="12" customHeight="1" x14ac:dyDescent="0.25">
      <c r="A170" s="723"/>
      <c r="B170" s="725"/>
      <c r="C170" s="123" t="str">
        <f>'натур показатели 3 работа'!C156</f>
        <v>кран шаровый</v>
      </c>
      <c r="D170" s="69" t="str">
        <f>'натур показатели 3 работа'!D156</f>
        <v>шт</v>
      </c>
      <c r="E170" s="185">
        <f>'работа 2 пат'!D276</f>
        <v>8.0400000000000009</v>
      </c>
    </row>
    <row r="171" spans="1:5" x14ac:dyDescent="0.25">
      <c r="A171" s="723"/>
      <c r="B171" s="725"/>
      <c r="C171" s="123" t="str">
        <f>'натур показатели 3 работа'!C157</f>
        <v>Лопата</v>
      </c>
      <c r="D171" s="69" t="str">
        <f>'натур показатели 3 работа'!D157</f>
        <v>шт</v>
      </c>
      <c r="E171" s="185">
        <f>'работа 2 пат'!D277</f>
        <v>0.40200000000000002</v>
      </c>
    </row>
    <row r="172" spans="1:5" x14ac:dyDescent="0.25">
      <c r="A172" s="723"/>
      <c r="B172" s="725"/>
      <c r="C172" s="123" t="str">
        <f>'натур показатели 3 работа'!C158</f>
        <v>Пружина</v>
      </c>
      <c r="D172" s="69" t="str">
        <f>'натур показатели 3 работа'!D158</f>
        <v>шт</v>
      </c>
      <c r="E172" s="185">
        <f>'работа 2 пат'!D278</f>
        <v>10.050000000000001</v>
      </c>
    </row>
    <row r="173" spans="1:5" x14ac:dyDescent="0.25">
      <c r="A173" s="723"/>
      <c r="B173" s="725"/>
      <c r="C173" s="123" t="str">
        <f>'натур показатели 3 работа'!C159</f>
        <v>ГСМ 12,1457л.*247дней*44,27 руб.</v>
      </c>
      <c r="D173" s="69" t="str">
        <f>'натур показатели 3 работа'!D159</f>
        <v>шт</v>
      </c>
      <c r="E173" s="185">
        <f>'работа 2 пат'!D279</f>
        <v>497.73228</v>
      </c>
    </row>
    <row r="174" spans="1:5" x14ac:dyDescent="0.25">
      <c r="A174" s="723"/>
      <c r="B174" s="725"/>
      <c r="C174" s="123" t="str">
        <f>'натур показатели 3 работа'!C160</f>
        <v>Чехол для кресла-мешка</v>
      </c>
      <c r="D174" s="69" t="str">
        <f>'натур показатели 3 работа'!D160</f>
        <v>шт</v>
      </c>
      <c r="E174" s="185">
        <f>'работа 2 пат'!D280</f>
        <v>2.4119999999999999</v>
      </c>
    </row>
    <row r="175" spans="1:5" x14ac:dyDescent="0.25">
      <c r="A175" s="723"/>
      <c r="B175" s="725"/>
      <c r="C175" s="123" t="str">
        <f>'натур показатели 3 работа'!C161</f>
        <v>Наполнитель для кресла-мешка</v>
      </c>
      <c r="D175" s="69" t="str">
        <f>'натур показатели 3 работа'!D161</f>
        <v>шт</v>
      </c>
      <c r="E175" s="185">
        <f>'работа 2 пат'!D281</f>
        <v>0.80400000000000005</v>
      </c>
    </row>
    <row r="176" spans="1:5" ht="22.5" x14ac:dyDescent="0.25">
      <c r="A176" s="723"/>
      <c r="B176" s="725"/>
      <c r="C176" s="123" t="str">
        <f>'натур показатели 3 работа'!C162</f>
        <v>Фотобумага IST глянцевая 100 листов односторонняя 230гр/м</v>
      </c>
      <c r="D176" s="69" t="str">
        <f>'натур показатели 3 работа'!D162</f>
        <v>шт</v>
      </c>
      <c r="E176" s="185">
        <f>'работа 2 пат'!D282</f>
        <v>4.0200000000000005</v>
      </c>
    </row>
    <row r="177" spans="1:5" ht="22.5" x14ac:dyDescent="0.25">
      <c r="A177" s="723"/>
      <c r="B177" s="725"/>
      <c r="C177" s="123" t="str">
        <f>'натур показатели 3 работа'!C163</f>
        <v>Фотобумага IST глянцевая 100 листов односторонняя 180гр/м</v>
      </c>
      <c r="D177" s="69" t="str">
        <f>'натур показатели 3 работа'!D163</f>
        <v>шт</v>
      </c>
      <c r="E177" s="185">
        <f>'работа 2 пат'!D283</f>
        <v>4.0200000000000005</v>
      </c>
    </row>
    <row r="178" spans="1:5" ht="22.5" x14ac:dyDescent="0.25">
      <c r="A178" s="723"/>
      <c r="B178" s="725"/>
      <c r="C178" s="123" t="str">
        <f>'натур показатели 3 работа'!C164</f>
        <v>Фотобумага IST глянцевая 100 листов односторонняя 190гр/м</v>
      </c>
      <c r="D178" s="69" t="str">
        <f>'натур показатели 3 работа'!D164</f>
        <v>шт</v>
      </c>
      <c r="E178" s="185">
        <f>'работа 2 пат'!D284</f>
        <v>8.0400000000000009</v>
      </c>
    </row>
    <row r="179" spans="1:5" x14ac:dyDescent="0.25">
      <c r="A179" s="723"/>
      <c r="B179" s="725"/>
      <c r="C179" s="123" t="str">
        <f>'натур показатели 3 работа'!C165</f>
        <v>Тонер ECOSYS</v>
      </c>
      <c r="D179" s="69" t="str">
        <f>'натур показатели 3 работа'!D165</f>
        <v>шт</v>
      </c>
      <c r="E179" s="185">
        <f>'работа 2 пат'!D285</f>
        <v>0.80400000000000005</v>
      </c>
    </row>
    <row r="180" spans="1:5" x14ac:dyDescent="0.25">
      <c r="A180" s="723"/>
      <c r="B180" s="725"/>
      <c r="C180" s="123" t="str">
        <f>'натур показатели 3 работа'!C166</f>
        <v>Картридж НР С2Р42АЕ</v>
      </c>
      <c r="D180" s="69" t="str">
        <f>'натур показатели 3 работа'!D166</f>
        <v>шт</v>
      </c>
      <c r="E180" s="185">
        <f>'работа 2 пат'!D286</f>
        <v>0.80400000000000005</v>
      </c>
    </row>
    <row r="181" spans="1:5" x14ac:dyDescent="0.25">
      <c r="A181" s="723"/>
      <c r="B181" s="725"/>
      <c r="C181" s="123" t="str">
        <f>'натур показатели 3 работа'!C167</f>
        <v>Аккумулятор X-TREME Arctik  78.1</v>
      </c>
      <c r="D181" s="69" t="str">
        <f>'натур показатели 3 работа'!D167</f>
        <v>шт</v>
      </c>
      <c r="E181" s="185">
        <f>'работа 2 пат'!D287</f>
        <v>0.40200000000000002</v>
      </c>
    </row>
    <row r="182" spans="1:5" ht="22.5" x14ac:dyDescent="0.25">
      <c r="A182" s="723"/>
      <c r="B182" s="725"/>
      <c r="C182" s="123" t="str">
        <f>'натур показатели 3 работа'!C168</f>
        <v>Амортизатор УАЗ 3159 задн. TRIALLI газомасл.3159-2915006 (3159-2915006)</v>
      </c>
      <c r="D182" s="69" t="str">
        <f>'натур показатели 3 работа'!D168</f>
        <v>шт</v>
      </c>
      <c r="E182" s="185">
        <f>'работа 2 пат'!D288</f>
        <v>1.6080000000000001</v>
      </c>
    </row>
    <row r="183" spans="1:5" ht="22.5" customHeight="1" x14ac:dyDescent="0.25">
      <c r="A183" s="723"/>
      <c r="B183" s="725"/>
      <c r="C183" s="123" t="str">
        <f>'натур показатели 3 работа'!C169</f>
        <v>Болт М10*1*25 кардана УАЗ в/сб(уп. 20 шт)</v>
      </c>
      <c r="D183" s="69" t="str">
        <f>'натур показатели 3 работа'!D169</f>
        <v>шт</v>
      </c>
      <c r="E183" s="185">
        <f>'работа 2 пат'!D289</f>
        <v>6.4320000000000004</v>
      </c>
    </row>
    <row r="184" spans="1:5" ht="33.75" x14ac:dyDescent="0.25">
      <c r="A184" s="723"/>
      <c r="B184" s="725"/>
      <c r="C184" s="123" t="str">
        <f>'натур показатели 3 работа'!C170</f>
        <v>Винт М8*1,25*12 потай шлиц.торм.барабана Волга Г-2410 290605 (290605-п29)</v>
      </c>
      <c r="D184" s="69" t="str">
        <f>'натур показатели 3 работа'!D170</f>
        <v>шт</v>
      </c>
      <c r="E184" s="185">
        <f>'работа 2 пат'!D290</f>
        <v>9.6479999999999997</v>
      </c>
    </row>
    <row r="185" spans="1:5" ht="22.5" x14ac:dyDescent="0.25">
      <c r="A185" s="723"/>
      <c r="B185" s="725"/>
      <c r="C185" s="123" t="str">
        <f>'натур показатели 3 работа'!C171</f>
        <v>Вкладыш шкворня УАЗ-3160(латунь н/о 2 усика)3160 2304023-10 (3160 2304023-10)</v>
      </c>
      <c r="D185" s="69" t="str">
        <f>'натур показатели 3 работа'!D171</f>
        <v>шт</v>
      </c>
      <c r="E185" s="185">
        <f>'работа 2 пат'!D291</f>
        <v>3.2160000000000002</v>
      </c>
    </row>
    <row r="186" spans="1:5" ht="22.5" x14ac:dyDescent="0.25">
      <c r="A186" s="723"/>
      <c r="B186" s="725"/>
      <c r="C186" s="123" t="str">
        <f>'натур показатели 3 работа'!C172</f>
        <v>Втулка амортизатора Волга ,УАЗ полиуретан 451-2905432 (451-2905432)</v>
      </c>
      <c r="D186" s="69" t="str">
        <f>'натур показатели 3 работа'!D172</f>
        <v>шт</v>
      </c>
      <c r="E186" s="185">
        <f>'работа 2 пат'!D292</f>
        <v>8.0400000000000009</v>
      </c>
    </row>
    <row r="187" spans="1:5" ht="22.5" x14ac:dyDescent="0.25">
      <c r="A187" s="723"/>
      <c r="B187" s="725"/>
      <c r="C187" s="123" t="str">
        <f>'натур показатели 3 работа'!C173</f>
        <v>Гайка колесная  М14*1,5 (18, ключ 22) Волга, Соболь, УАЗ</v>
      </c>
      <c r="D187" s="69" t="str">
        <f>'натур показатели 3 работа'!D173</f>
        <v>шт</v>
      </c>
      <c r="E187" s="185">
        <f>'работа 2 пат'!D293</f>
        <v>8.0400000000000009</v>
      </c>
    </row>
    <row r="188" spans="1:5" ht="22.5" x14ac:dyDescent="0.25">
      <c r="A188" s="723"/>
      <c r="B188" s="725"/>
      <c r="C188" s="123" t="str">
        <f>'натур показатели 3 работа'!C174</f>
        <v>Катушка зажигания 405 дв.(АТЭ-1)3032.3705 (3032.3705)</v>
      </c>
      <c r="D188" s="69" t="str">
        <f>'натур показатели 3 работа'!D174</f>
        <v>шт</v>
      </c>
      <c r="E188" s="185">
        <f>'работа 2 пат'!D294</f>
        <v>1.6080000000000001</v>
      </c>
    </row>
    <row r="189" spans="1:5" ht="33.75" x14ac:dyDescent="0.25">
      <c r="A189" s="723"/>
      <c r="B189" s="725"/>
      <c r="C189" s="123" t="str">
        <f>'натур показатели 3 работа'!C175</f>
        <v>Колодка переднего тормоза (к-т 4 шт.)УАЗ Оригинал(ТИИР) 3163 3501088 (3163 3501088)</v>
      </c>
      <c r="D189" s="69" t="str">
        <f>'натур показатели 3 работа'!D175</f>
        <v>шт</v>
      </c>
      <c r="E189" s="185">
        <f>'работа 2 пат'!D295</f>
        <v>1.6080000000000001</v>
      </c>
    </row>
    <row r="190" spans="1:5" x14ac:dyDescent="0.25">
      <c r="A190" s="723"/>
      <c r="B190" s="725"/>
      <c r="C190" s="123" t="str">
        <f>'натур показатели 3 работа'!C176</f>
        <v>Кольцо крестовины карданного вала</v>
      </c>
      <c r="D190" s="69" t="str">
        <f>'натур показатели 3 работа'!D176</f>
        <v>шт</v>
      </c>
      <c r="E190" s="185">
        <f>'работа 2 пат'!D296</f>
        <v>3.2160000000000002</v>
      </c>
    </row>
    <row r="191" spans="1:5" ht="33.75" x14ac:dyDescent="0.25">
      <c r="A191" s="723"/>
      <c r="B191" s="725"/>
      <c r="C191" s="123" t="str">
        <f>'натур показатели 3 работа'!C177</f>
        <v>Комплект ГРМ(полный)ЗМЗ 405-409 ЕВРО-3 "Идеальная фаза"(двухрядная цепь 72/92 Ditton)406.3906625-05 (406.3906625-05)</v>
      </c>
      <c r="D191" s="69" t="str">
        <f>'натур показатели 3 работа'!D177</f>
        <v>шт</v>
      </c>
      <c r="E191" s="185">
        <f>'работа 2 пат'!D297</f>
        <v>0.40200000000000002</v>
      </c>
    </row>
    <row r="192" spans="1:5" ht="22.5" x14ac:dyDescent="0.25">
      <c r="A192" s="723"/>
      <c r="B192" s="725"/>
      <c r="C192" s="123" t="str">
        <f>'натур показатели 3 работа'!C178</f>
        <v>Комплект прокладок на дв.4091 Саморим УАЗ 452</v>
      </c>
      <c r="D192" s="69" t="str">
        <f>'натур показатели 3 работа'!D178</f>
        <v>шт</v>
      </c>
      <c r="E192" s="185">
        <f>'работа 2 пат'!D298</f>
        <v>0.40200000000000002</v>
      </c>
    </row>
    <row r="193" spans="1:5" ht="33.75" x14ac:dyDescent="0.25">
      <c r="A193" s="723"/>
      <c r="B193" s="725"/>
      <c r="C193" s="123" t="str">
        <f>'натур показатели 3 работа'!C179</f>
        <v>Крестовина кардан.вала УАЗ(АДС)с масленкой и стопорными кольцами 42000.0469-2201025-00 (ВК469-2201025)</v>
      </c>
      <c r="D193" s="69" t="str">
        <f>'натур показатели 3 работа'!D179</f>
        <v>шт</v>
      </c>
      <c r="E193" s="185">
        <f>'работа 2 пат'!D299</f>
        <v>1.6080000000000001</v>
      </c>
    </row>
    <row r="194" spans="1:5" x14ac:dyDescent="0.25">
      <c r="A194" s="723"/>
      <c r="B194" s="725"/>
      <c r="C194" s="123" t="str">
        <f>'натур показатели 3 работа'!C180</f>
        <v>Накладка педали сцепления УАЗ 2206</v>
      </c>
      <c r="D194" s="69" t="str">
        <f>'натур показатели 3 работа'!D180</f>
        <v>шт</v>
      </c>
      <c r="E194" s="185">
        <f>'работа 2 пат'!D300</f>
        <v>0.40200000000000002</v>
      </c>
    </row>
    <row r="195" spans="1:5" ht="22.5" x14ac:dyDescent="0.25">
      <c r="A195" s="723"/>
      <c r="B195" s="725"/>
      <c r="C195" s="123" t="str">
        <f>'натур показатели 3 работа'!C181</f>
        <v>Наконечник рулевой тяги левый "АДС-Expert" 469-3414057-01 (469-3414057-01)</v>
      </c>
      <c r="D195" s="69" t="str">
        <f>'натур показатели 3 работа'!D181</f>
        <v>шт</v>
      </c>
      <c r="E195" s="185">
        <f>'работа 2 пат'!D301</f>
        <v>0.80400000000000005</v>
      </c>
    </row>
    <row r="196" spans="1:5" ht="22.5" x14ac:dyDescent="0.25">
      <c r="A196" s="723"/>
      <c r="B196" s="725"/>
      <c r="C196" s="123" t="str">
        <f>'натур показатели 3 работа'!C182</f>
        <v>Наконечник рулевой тяги правый "АДС-Expert" 469-3414056-01 (469-3414056-01)</v>
      </c>
      <c r="D196" s="69" t="str">
        <f>'натур показатели 3 работа'!D182</f>
        <v>шт</v>
      </c>
      <c r="E196" s="185">
        <f>'работа 2 пат'!D302</f>
        <v>2.4119999999999999</v>
      </c>
    </row>
    <row r="197" spans="1:5" ht="22.5" x14ac:dyDescent="0.25">
      <c r="A197" s="723"/>
      <c r="B197" s="725"/>
      <c r="C197" s="123" t="str">
        <f>'натур показатели 3 работа'!C183</f>
        <v>Патрубки радиатора УАЗ Патриот 409дв.без кондиционера(силикон)(к-т 3шт)</v>
      </c>
      <c r="D197" s="69" t="str">
        <f>'натур показатели 3 работа'!D183</f>
        <v>шт</v>
      </c>
      <c r="E197" s="185">
        <f>'работа 2 пат'!D303</f>
        <v>0.40200000000000002</v>
      </c>
    </row>
    <row r="198" spans="1:5" x14ac:dyDescent="0.25">
      <c r="A198" s="723"/>
      <c r="B198" s="725"/>
      <c r="C198" s="123" t="str">
        <f>'натур показатели 3 работа'!C184</f>
        <v>Подшипник ступичный 127509</v>
      </c>
      <c r="D198" s="69" t="str">
        <f>'натур показатели 3 работа'!D184</f>
        <v>шт</v>
      </c>
      <c r="E198" s="185">
        <f>'работа 2 пат'!D304</f>
        <v>3.2160000000000002</v>
      </c>
    </row>
    <row r="199" spans="1:5" ht="22.5" customHeight="1" x14ac:dyDescent="0.25">
      <c r="A199" s="723"/>
      <c r="B199" s="725"/>
      <c r="C199" s="123" t="str">
        <f>'натур показатели 3 работа'!C185</f>
        <v>Провода в/в 4091 дв.с наконеч.силикон.4091-3707244 (4091-3707244)</v>
      </c>
      <c r="D199" s="69" t="str">
        <f>'натур показатели 3 работа'!D185</f>
        <v>шт</v>
      </c>
      <c r="E199" s="185">
        <f>'работа 2 пат'!D305</f>
        <v>0.80400000000000005</v>
      </c>
    </row>
    <row r="200" spans="1:5" ht="22.5" x14ac:dyDescent="0.25">
      <c r="A200" s="723"/>
      <c r="B200" s="725"/>
      <c r="C200" s="123" t="str">
        <f>'натур показатели 3 работа'!C186</f>
        <v>Прокладка крышки полуоси(паронит)3151-2407048 (3151-2407048)</v>
      </c>
      <c r="D200" s="69" t="str">
        <f>'натур показатели 3 работа'!D186</f>
        <v>шт</v>
      </c>
      <c r="E200" s="185">
        <f>'работа 2 пат'!D306</f>
        <v>4.0200000000000005</v>
      </c>
    </row>
    <row r="201" spans="1:5" ht="33.75" x14ac:dyDescent="0.25">
      <c r="A201" s="723"/>
      <c r="B201" s="725"/>
      <c r="C201" s="123" t="str">
        <f>'натур показатели 3 работа'!C187</f>
        <v>Ремень (1275  мм 6РК) ЗМЗ-40524, 40525 ЕВРО -3 без ГУР "LUZAR" (40624 1308020-01)</v>
      </c>
      <c r="D201" s="69" t="str">
        <f>'натур показатели 3 работа'!D187</f>
        <v>шт</v>
      </c>
      <c r="E201" s="185">
        <f>'работа 2 пат'!D307</f>
        <v>1.206</v>
      </c>
    </row>
    <row r="202" spans="1:5" ht="33.75" x14ac:dyDescent="0.25">
      <c r="A202" s="723"/>
      <c r="B202" s="725"/>
      <c r="C202" s="123" t="str">
        <f>'натур показатели 3 работа'!C188</f>
        <v>Ремень 1195 - 6 РК привода ГУР "OLEX POLY V BELT"3163-00-1308020-02 (3163-00-1308020-02)</v>
      </c>
      <c r="D202" s="69" t="str">
        <f>'натур показатели 3 работа'!D188</f>
        <v>шт</v>
      </c>
      <c r="E202" s="185">
        <f>'работа 2 пат'!D308</f>
        <v>1.206</v>
      </c>
    </row>
    <row r="203" spans="1:5" ht="22.5" x14ac:dyDescent="0.25">
      <c r="A203" s="723"/>
      <c r="B203" s="725"/>
      <c r="C203" s="123" t="str">
        <f>'натур показатели 3 работа'!C189</f>
        <v>Ремень буксировочный 6/9т 6м (а/м до 3т)  Крюк/Крюк +сумка(олива) Tplus</v>
      </c>
      <c r="D203" s="69" t="str">
        <f>'натур показатели 3 работа'!D189</f>
        <v>шт</v>
      </c>
      <c r="E203" s="185">
        <f>'работа 2 пат'!D309</f>
        <v>0.40200000000000002</v>
      </c>
    </row>
    <row r="204" spans="1:5" ht="33.75" x14ac:dyDescent="0.25">
      <c r="A204" s="723"/>
      <c r="B204" s="725"/>
      <c r="C204" s="123" t="str">
        <f>'натур показатели 3 работа'!C190</f>
        <v>Ремкомплект поворотного кулака УАЗ мост Спайсер с полиуретановым сальником 3160-2304052 (3160-2304052)</v>
      </c>
      <c r="D204" s="69" t="str">
        <f>'натур показатели 3 работа'!D190</f>
        <v>шт</v>
      </c>
      <c r="E204" s="185">
        <f>'работа 2 пат'!D310</f>
        <v>1.6080000000000001</v>
      </c>
    </row>
    <row r="205" spans="1:5" ht="45" x14ac:dyDescent="0.25">
      <c r="A205" s="723"/>
      <c r="B205" s="725"/>
      <c r="C205" s="123" t="str">
        <f>'натур показатели 3 работа'!C191</f>
        <v>Ремкомплект шкворня УАЗ Хантер,Патриот мост Спайсер н/о(2 уса) с вкладышами)"Ваксойл"3163-230401 (3163-230401)</v>
      </c>
      <c r="D205" s="69" t="str">
        <f>'натур показатели 3 работа'!D191</f>
        <v>шт</v>
      </c>
      <c r="E205" s="185">
        <f>'работа 2 пат'!D311</f>
        <v>0.80400000000000005</v>
      </c>
    </row>
    <row r="206" spans="1:5" ht="33.75" x14ac:dyDescent="0.25">
      <c r="A206" s="723"/>
      <c r="B206" s="725"/>
      <c r="C206" s="123" t="str">
        <f>'натур показатели 3 работа'!C192</f>
        <v>Сайлентблок передней подвески УАЗ резинометаллический (малый) 3160-2909027 (3160-2909027)</v>
      </c>
      <c r="D206" s="69" t="str">
        <f>'натур показатели 3 работа'!D192</f>
        <v>шт</v>
      </c>
      <c r="E206" s="185">
        <f>'работа 2 пат'!D312</f>
        <v>2.4119999999999999</v>
      </c>
    </row>
    <row r="207" spans="1:5" ht="22.5" x14ac:dyDescent="0.25">
      <c r="A207" s="723"/>
      <c r="B207" s="725"/>
      <c r="C207" s="123" t="str">
        <f>'натур показатели 3 работа'!C193</f>
        <v>Сайлентблок рессоры УАЗ-Патриот 3163(завод)3163-2912020 (3163-2912020)</v>
      </c>
      <c r="D207" s="69" t="str">
        <f>'натур показатели 3 работа'!D193</f>
        <v>шт</v>
      </c>
      <c r="E207" s="185">
        <f>'работа 2 пат'!D313</f>
        <v>3.2160000000000002</v>
      </c>
    </row>
    <row r="208" spans="1:5" ht="33.75" x14ac:dyDescent="0.25">
      <c r="A208" s="723"/>
      <c r="B208" s="725"/>
      <c r="C208" s="123" t="str">
        <f>'натур показатели 3 работа'!C194</f>
        <v>Сальник (55х70х8) коленвала передний 406дв."Кортеко"(Германия)406.1005034-02 (406.1005034-02)</v>
      </c>
      <c r="D208" s="69" t="str">
        <f>'натур показатели 3 работа'!D194</f>
        <v>шт</v>
      </c>
      <c r="E208" s="185">
        <f>'работа 2 пат'!D314</f>
        <v>0.80400000000000005</v>
      </c>
    </row>
    <row r="209" spans="1:5" ht="22.5" x14ac:dyDescent="0.25">
      <c r="A209" s="723"/>
      <c r="B209" s="725"/>
      <c r="C209" s="123" t="str">
        <f>'натур показатели 3 работа'!C195</f>
        <v>Сальник (60х85х10) ступицы  NAK International 3741-3103038 (3741-3103038)</v>
      </c>
      <c r="D209" s="69" t="str">
        <f>'натур показатели 3 работа'!D195</f>
        <v>шт</v>
      </c>
      <c r="E209" s="185">
        <f>'работа 2 пат'!D315</f>
        <v>9.6479999999999997</v>
      </c>
    </row>
    <row r="210" spans="1:5" ht="22.5" x14ac:dyDescent="0.25">
      <c r="A210" s="723"/>
      <c r="B210" s="725"/>
      <c r="C210" s="123" t="str">
        <f>'натур показатели 3 работа'!C196</f>
        <v>Сальник к/вала задний 100л.с. 80х100х10(NAK intarnational)</v>
      </c>
      <c r="D210" s="69" t="str">
        <f>'натур показатели 3 работа'!D196</f>
        <v>шт</v>
      </c>
      <c r="E210" s="185">
        <f>'работа 2 пат'!D316</f>
        <v>0.80400000000000005</v>
      </c>
    </row>
    <row r="211" spans="1:5" ht="33.75" x14ac:dyDescent="0.25">
      <c r="A211" s="723"/>
      <c r="B211" s="725"/>
      <c r="C211" s="123" t="str">
        <f>'натур показатели 3 работа'!C197</f>
        <v>Сальник хвостовика 42х68х 10/14,5 усиленный "NAK"3741-00-1701210-03 (3741-00-1701210-03)</v>
      </c>
      <c r="D211" s="69" t="str">
        <f>'натур показатели 3 работа'!D197</f>
        <v>шт</v>
      </c>
      <c r="E211" s="185">
        <f>'работа 2 пат'!D317</f>
        <v>3.2160000000000002</v>
      </c>
    </row>
    <row r="212" spans="1:5" ht="33.75" x14ac:dyDescent="0.25">
      <c r="A212" s="723"/>
      <c r="B212" s="725"/>
      <c r="C212" s="123" t="str">
        <f>'натур показатели 3 работа'!C198</f>
        <v>Сальник шруса (в мет. обойме)(32х50х10)(19000078)3741-2304071 (3741-2304071)</v>
      </c>
      <c r="D212" s="69" t="str">
        <f>'натур показатели 3 работа'!D198</f>
        <v>шт</v>
      </c>
      <c r="E212" s="185">
        <f>'работа 2 пат'!D318</f>
        <v>1.6080000000000001</v>
      </c>
    </row>
    <row r="213" spans="1:5" ht="22.5" x14ac:dyDescent="0.25">
      <c r="A213" s="723"/>
      <c r="B213" s="725"/>
      <c r="C213" s="123" t="str">
        <f>'натур показатели 3 работа'!C199</f>
        <v>Свеча зажигания DENSO  Q16ТТ#4  4607#4 (1 шт.)</v>
      </c>
      <c r="D213" s="69" t="str">
        <f>'натур показатели 3 работа'!D199</f>
        <v>шт</v>
      </c>
      <c r="E213" s="185">
        <f>'работа 2 пат'!D319</f>
        <v>3.2160000000000002</v>
      </c>
    </row>
    <row r="214" spans="1:5" ht="22.5" x14ac:dyDescent="0.25">
      <c r="A214" s="723"/>
      <c r="B214" s="725"/>
      <c r="C214" s="123" t="str">
        <f>'натур показатели 3 работа'!C200</f>
        <v>Скоба омегообр. с резьбой г/п 2,0т тип G 209 ХЛ</v>
      </c>
      <c r="D214" s="69" t="str">
        <f>'натур показатели 3 работа'!D200</f>
        <v>шт</v>
      </c>
      <c r="E214" s="185">
        <f>'работа 2 пат'!D320</f>
        <v>0.40200000000000002</v>
      </c>
    </row>
    <row r="215" spans="1:5" ht="22.5" x14ac:dyDescent="0.25">
      <c r="A215" s="723"/>
      <c r="B215" s="725"/>
      <c r="C215" s="123" t="str">
        <f>'натур показатели 3 работа'!C201</f>
        <v>Строп динамический (рывковый) 6т,  9 м, серия "Стандарт" TPlus</v>
      </c>
      <c r="D215" s="69" t="str">
        <f>'натур показатели 3 работа'!D201</f>
        <v>шт</v>
      </c>
      <c r="E215" s="185">
        <f>'работа 2 пат'!D321</f>
        <v>0.40200000000000002</v>
      </c>
    </row>
    <row r="216" spans="1:5" ht="33.75" x14ac:dyDescent="0.25">
      <c r="A216" s="723"/>
      <c r="B216" s="725"/>
      <c r="C216" s="123" t="str">
        <f>'натур показатели 3 работа'!C202</f>
        <v>Ступица заднего колеса УАЗ-3163(с имп.диском в сборе АБС)3163-3104006 (3163-3104006)</v>
      </c>
      <c r="D216" s="69" t="str">
        <f>'натур показатели 3 работа'!D202</f>
        <v>шт</v>
      </c>
      <c r="E216" s="185">
        <f>'работа 2 пат'!D322</f>
        <v>0.40200000000000002</v>
      </c>
    </row>
    <row r="217" spans="1:5" ht="33.75" x14ac:dyDescent="0.25">
      <c r="A217" s="723"/>
      <c r="B217" s="725"/>
      <c r="C217" s="123" t="str">
        <f>'натур показатели 3 работа'!C203</f>
        <v>Сцепление к-т ЗМЗ-409"LUK"(с выжимным подшипником АДС)3163 06 1601006 (3163 06 1601006)</v>
      </c>
      <c r="D217" s="69" t="str">
        <f>'натур показатели 3 работа'!D203</f>
        <v>шт</v>
      </c>
      <c r="E217" s="185">
        <f>'работа 2 пат'!D323</f>
        <v>0.40200000000000002</v>
      </c>
    </row>
    <row r="218" spans="1:5" ht="22.5" x14ac:dyDescent="0.25">
      <c r="A218" s="723"/>
      <c r="B218" s="725"/>
      <c r="C218" s="123" t="str">
        <f>'натур показатели 3 работа'!C204</f>
        <v>Термостат Т-118 t-87 (УМЗ4216) Электон  Т118-1306100-04</v>
      </c>
      <c r="D218" s="69" t="str">
        <f>'натур показатели 3 работа'!D204</f>
        <v>шт</v>
      </c>
      <c r="E218" s="185">
        <f>'работа 2 пат'!D324</f>
        <v>0.80400000000000005</v>
      </c>
    </row>
    <row r="219" spans="1:5" ht="22.5" x14ac:dyDescent="0.25">
      <c r="A219" s="723"/>
      <c r="B219" s="725"/>
      <c r="C219" s="123" t="str">
        <f>'натур показатели 3 работа'!C205</f>
        <v>Тормозная жидкость G-Energy EXPERT DOT4 (0.910кг)</v>
      </c>
      <c r="D219" s="69" t="str">
        <f>'натур показатели 3 работа'!D205</f>
        <v>шт</v>
      </c>
      <c r="E219" s="185">
        <f>'работа 2 пат'!D325</f>
        <v>0.80400000000000005</v>
      </c>
    </row>
    <row r="220" spans="1:5" ht="33.75" x14ac:dyDescent="0.25">
      <c r="A220" s="723"/>
      <c r="B220" s="725"/>
      <c r="C220" s="123" t="str">
        <f>'натур показатели 3 работа'!C206</f>
        <v>Уплотнитель свечного колодца 406 дв.(ЕВРО-2)(Силикон синий) 406.1007248-10 (406.1007248-10)</v>
      </c>
      <c r="D220" s="69" t="str">
        <f>'натур показатели 3 работа'!D206</f>
        <v>шт</v>
      </c>
      <c r="E220" s="185">
        <f>'работа 2 пат'!D326</f>
        <v>0.40200000000000002</v>
      </c>
    </row>
    <row r="221" spans="1:5" ht="22.5" x14ac:dyDescent="0.25">
      <c r="A221" s="723"/>
      <c r="B221" s="725"/>
      <c r="C221" s="123" t="str">
        <f>'натур показатели 3 работа'!C207</f>
        <v>Утеплитель лобовой наружный с дверями УАЗ-452(ватин/венил/кожа)</v>
      </c>
      <c r="D221" s="69" t="str">
        <f>'натур показатели 3 работа'!D207</f>
        <v>шт</v>
      </c>
      <c r="E221" s="185">
        <f>'работа 2 пат'!D327</f>
        <v>0.40200000000000002</v>
      </c>
    </row>
    <row r="222" spans="1:5" ht="33.75" x14ac:dyDescent="0.25">
      <c r="A222" s="723"/>
      <c r="B222" s="725"/>
      <c r="C222" s="123" t="str">
        <f>'натур показатели 3 работа'!C208</f>
        <v>Фильтр масляный MANN-FILTER W 914/2(W 812)(W 813)(W 914/2 n)(W 914/5)"10"</v>
      </c>
      <c r="D222" s="69" t="str">
        <f>'натур показатели 3 работа'!D208</f>
        <v>шт</v>
      </c>
      <c r="E222" s="185">
        <f>'работа 2 пат'!D328</f>
        <v>1.6080000000000001</v>
      </c>
    </row>
    <row r="223" spans="1:5" ht="33.75" x14ac:dyDescent="0.25">
      <c r="A223" s="723"/>
      <c r="B223" s="725"/>
      <c r="C223" s="123" t="str">
        <f>'натур показатели 3 работа'!C209</f>
        <v>Фильтр топливный УАЗ ( инжектор штуцера с резьбой)УАЗ Оригиннал 3151-96-1117010 (3151-96-1117010)</v>
      </c>
      <c r="D223" s="69" t="str">
        <f>'натур показатели 3 работа'!D209</f>
        <v>шт</v>
      </c>
      <c r="E223" s="185">
        <f>'работа 2 пат'!D329</f>
        <v>1.6080000000000001</v>
      </c>
    </row>
    <row r="224" spans="1:5" ht="33.75" x14ac:dyDescent="0.25">
      <c r="A224" s="723"/>
      <c r="B224" s="725"/>
      <c r="C224" s="123" t="str">
        <f>'натур показатели 3 работа'!C210</f>
        <v>Цилиндр тормозной задний УАЗ 3160,3162 Патриот(d=28мм)KNU 3160 3502040 (3160 3502040)</v>
      </c>
      <c r="D224" s="69" t="str">
        <f>'натур показатели 3 работа'!D210</f>
        <v>шт</v>
      </c>
      <c r="E224" s="185">
        <f>'работа 2 пат'!D330</f>
        <v>1.6080000000000001</v>
      </c>
    </row>
    <row r="225" spans="1:5" ht="22.5" x14ac:dyDescent="0.25">
      <c r="A225" s="723"/>
      <c r="B225" s="725"/>
      <c r="C225" s="123" t="str">
        <f>'натур показатели 3 работа'!C211</f>
        <v>Шакл (скоба омегообр. с резьбой г/п 3,25т)тип G209 ХЛ</v>
      </c>
      <c r="D225" s="69" t="str">
        <f>'натур показатели 3 работа'!D211</f>
        <v>шт</v>
      </c>
      <c r="E225" s="185">
        <f>'работа 2 пат'!D331</f>
        <v>0.40200000000000002</v>
      </c>
    </row>
    <row r="226" spans="1:5" ht="22.5" x14ac:dyDescent="0.25">
      <c r="A226" s="723"/>
      <c r="B226" s="725"/>
      <c r="C226" s="123" t="str">
        <f>'натур показатели 3 работа'!C212</f>
        <v>Шкив помпы 406 дв текстолит 406.1308025-10 ( 406.1308025-10)</v>
      </c>
      <c r="D226" s="69" t="str">
        <f>'натур показатели 3 работа'!D212</f>
        <v>шт</v>
      </c>
      <c r="E226" s="185">
        <f>'работа 2 пат'!D332</f>
        <v>1.206</v>
      </c>
    </row>
    <row r="227" spans="1:5" ht="33.75" x14ac:dyDescent="0.25">
      <c r="A227" s="723"/>
      <c r="B227" s="725"/>
      <c r="C227" s="123" t="str">
        <f>'натур показатели 3 работа'!C213</f>
        <v>Шланг тормозной задний УАЗ-452 инжектор.ЕВРО-4 3962-3506061 (3962-3506061)</v>
      </c>
      <c r="D227" s="69" t="str">
        <f>'натур показатели 3 работа'!D213</f>
        <v>шт</v>
      </c>
      <c r="E227" s="185">
        <f>'работа 2 пат'!D333</f>
        <v>1.6080000000000001</v>
      </c>
    </row>
    <row r="228" spans="1:5" ht="33.75" x14ac:dyDescent="0.25">
      <c r="A228" s="723"/>
      <c r="B228" s="725"/>
      <c r="C228" s="123" t="str">
        <f>'натур показатели 3 работа'!C214</f>
        <v>Шланг тормозной передний УАЗ-452 инжектор Евро-4 3962-3506060 (3962-3506060)</v>
      </c>
      <c r="D228" s="69" t="str">
        <f>'натур показатели 3 работа'!D214</f>
        <v>шт</v>
      </c>
      <c r="E228" s="185">
        <f>'работа 2 пат'!D334</f>
        <v>1.6080000000000001</v>
      </c>
    </row>
    <row r="229" spans="1:5" ht="22.5" x14ac:dyDescent="0.25">
      <c r="A229" s="723"/>
      <c r="B229" s="725"/>
      <c r="C229" s="123" t="str">
        <f>'натур показатели 3 работа'!C215</f>
        <v>Шпилька колеса М 14х1,5х45  ГАЗ 2410,УАЗ 20-3103008-Б (20-3103008-Б)</v>
      </c>
      <c r="D229" s="69" t="str">
        <f>'натур показатели 3 работа'!D215</f>
        <v>шт</v>
      </c>
      <c r="E229" s="185">
        <f>'работа 2 пат'!D335</f>
        <v>8.0400000000000009</v>
      </c>
    </row>
    <row r="230" spans="1:5" ht="33.75" x14ac:dyDescent="0.25">
      <c r="A230" s="723"/>
      <c r="B230" s="725"/>
      <c r="C230" s="123" t="str">
        <f>'натур показатели 3 работа'!C216</f>
        <v>Элемент воздушного фильтра УАЗ 452 инжектор 4213,409 (низкий)Цитрон 9.1.97 1109080 (9.1.97 1109080)</v>
      </c>
      <c r="D230" s="69" t="str">
        <f>'натур показатели 3 работа'!D216</f>
        <v>шт</v>
      </c>
      <c r="E230" s="185">
        <f>'работа 2 пат'!D336</f>
        <v>0.80400000000000005</v>
      </c>
    </row>
    <row r="231" spans="1:5" x14ac:dyDescent="0.25">
      <c r="A231" s="723"/>
      <c r="B231" s="725"/>
      <c r="C231" s="123" t="str">
        <f>'натур показатели 3 работа'!C217</f>
        <v>Кран шаровый</v>
      </c>
      <c r="D231" s="69" t="str">
        <f>'натур показатели 3 работа'!D217</f>
        <v>шт</v>
      </c>
      <c r="E231" s="185">
        <f>'работа 2 пат'!D337</f>
        <v>0.40200000000000002</v>
      </c>
    </row>
    <row r="232" spans="1:5" x14ac:dyDescent="0.25">
      <c r="A232" s="723"/>
      <c r="B232" s="725"/>
      <c r="C232" s="123" t="str">
        <f>'натур показатели 3 работа'!C218</f>
        <v>Вода дист</v>
      </c>
      <c r="D232" s="69" t="str">
        <f>'натур показатели 3 работа'!D218</f>
        <v>шт</v>
      </c>
      <c r="E232" s="185">
        <f>'работа 2 пат'!D338</f>
        <v>0.40200000000000002</v>
      </c>
    </row>
    <row r="233" spans="1:5" x14ac:dyDescent="0.25">
      <c r="A233" s="723"/>
      <c r="B233" s="725"/>
      <c r="C233" s="123" t="str">
        <f>'натур показатели 3 работа'!C219</f>
        <v>Кислота серная</v>
      </c>
      <c r="D233" s="69" t="str">
        <f>'натур показатели 3 работа'!D219</f>
        <v>шт</v>
      </c>
      <c r="E233" s="185">
        <f>'работа 2 пат'!D339</f>
        <v>1.6080000000000001</v>
      </c>
    </row>
    <row r="234" spans="1:5" x14ac:dyDescent="0.25">
      <c r="A234" s="723"/>
      <c r="B234" s="725"/>
      <c r="C234" s="123" t="str">
        <f>'натур показатели 3 работа'!C220</f>
        <v>Пакеты майка</v>
      </c>
      <c r="D234" s="69" t="str">
        <f>'натур показатели 3 работа'!D220</f>
        <v>шт</v>
      </c>
      <c r="E234" s="185">
        <f>'работа 2 пат'!D340</f>
        <v>0.40200000000000002</v>
      </c>
    </row>
    <row r="235" spans="1:5" x14ac:dyDescent="0.25">
      <c r="A235" s="723"/>
      <c r="B235" s="725"/>
      <c r="C235" s="123" t="str">
        <f>'натур показатели 3 работа'!C221</f>
        <v>Уголок мебельный</v>
      </c>
      <c r="D235" s="69" t="str">
        <f>'натур показатели 3 работа'!D221</f>
        <v>шт</v>
      </c>
      <c r="E235" s="185">
        <f>'работа 2 пат'!D341</f>
        <v>4.0200000000000005</v>
      </c>
    </row>
    <row r="236" spans="1:5" x14ac:dyDescent="0.25">
      <c r="A236" s="723"/>
      <c r="B236" s="725"/>
      <c r="C236" s="123" t="str">
        <f>'натур показатели 3 работа'!C222</f>
        <v>Саморез по гипсокартону</v>
      </c>
      <c r="D236" s="69" t="str">
        <f>'натур показатели 3 работа'!D222</f>
        <v>шт</v>
      </c>
      <c r="E236" s="185">
        <f>'работа 2 пат'!D342</f>
        <v>80.400000000000006</v>
      </c>
    </row>
    <row r="237" spans="1:5" x14ac:dyDescent="0.25">
      <c r="A237" s="723"/>
      <c r="B237" s="725"/>
      <c r="C237" s="123" t="str">
        <f>'натур показатели 3 работа'!C223</f>
        <v>Доместос</v>
      </c>
      <c r="D237" s="69" t="str">
        <f>'натур показатели 3 работа'!D223</f>
        <v>шт</v>
      </c>
      <c r="E237" s="185">
        <f>'работа 2 пат'!D343</f>
        <v>2.0100000000000002</v>
      </c>
    </row>
    <row r="238" spans="1:5" x14ac:dyDescent="0.25">
      <c r="A238" s="723"/>
      <c r="B238" s="725"/>
      <c r="C238" s="123" t="str">
        <f>'натур показатели 3 работа'!C224</f>
        <v>Белизна</v>
      </c>
      <c r="D238" s="69" t="str">
        <f>'натур показатели 3 работа'!D224</f>
        <v>шт</v>
      </c>
      <c r="E238" s="185">
        <f>'работа 2 пат'!D344</f>
        <v>2.0100000000000002</v>
      </c>
    </row>
    <row r="239" spans="1:5" x14ac:dyDescent="0.25">
      <c r="A239" s="723"/>
      <c r="B239" s="725"/>
      <c r="C239" s="123" t="str">
        <f>'натур показатели 3 работа'!C225</f>
        <v xml:space="preserve">Пемолюкс </v>
      </c>
      <c r="D239" s="69" t="str">
        <f>'натур показатели 3 работа'!D225</f>
        <v>шт</v>
      </c>
      <c r="E239" s="185">
        <f>'работа 2 пат'!D345</f>
        <v>6.03</v>
      </c>
    </row>
    <row r="240" spans="1:5" x14ac:dyDescent="0.25">
      <c r="A240" s="723"/>
      <c r="B240" s="725"/>
      <c r="C240" s="123" t="str">
        <f>'натур показатели 3 работа'!C226</f>
        <v>Мыло</v>
      </c>
      <c r="D240" s="69" t="str">
        <f>'натур показатели 3 работа'!D226</f>
        <v>шт</v>
      </c>
      <c r="E240" s="185">
        <f>'работа 2 пат'!D346</f>
        <v>0.40200000000000002</v>
      </c>
    </row>
    <row r="241" spans="1:5" x14ac:dyDescent="0.25">
      <c r="A241" s="723"/>
      <c r="B241" s="725"/>
      <c r="C241" s="123" t="str">
        <f>'натур показатели 3 работа'!C227</f>
        <v>Стеклоочиститель с распылителем</v>
      </c>
      <c r="D241" s="69" t="str">
        <f>'натур показатели 3 работа'!D227</f>
        <v>шт</v>
      </c>
      <c r="E241" s="185">
        <f>'работа 2 пат'!D347</f>
        <v>0.40200000000000002</v>
      </c>
    </row>
    <row r="242" spans="1:5" x14ac:dyDescent="0.25">
      <c r="A242" s="723"/>
      <c r="B242" s="725"/>
      <c r="C242" s="123" t="str">
        <f>'натур показатели 3 работа'!C228</f>
        <v>Стеклоочиститель (сменный блок)</v>
      </c>
      <c r="D242" s="69" t="str">
        <f>'натур показатели 3 работа'!D228</f>
        <v>шт</v>
      </c>
      <c r="E242" s="185">
        <f>'работа 2 пат'!D348</f>
        <v>0.40200000000000002</v>
      </c>
    </row>
    <row r="243" spans="1:5" x14ac:dyDescent="0.25">
      <c r="A243" s="723"/>
      <c r="B243" s="725"/>
      <c r="C243" s="123" t="str">
        <f>'натур показатели 3 работа'!C229</f>
        <v>Губки</v>
      </c>
      <c r="D243" s="69" t="str">
        <f>'натур показатели 3 работа'!D229</f>
        <v>шт</v>
      </c>
      <c r="E243" s="185">
        <f>'работа 2 пат'!D349</f>
        <v>0.80400000000000005</v>
      </c>
    </row>
    <row r="244" spans="1:5" x14ac:dyDescent="0.25">
      <c r="A244" s="723"/>
      <c r="B244" s="725"/>
      <c r="C244" s="123" t="str">
        <f>'натур показатели 3 работа'!C230</f>
        <v>Моющее средство МИФ</v>
      </c>
      <c r="D244" s="69" t="str">
        <f>'натур показатели 3 работа'!D230</f>
        <v>шт</v>
      </c>
      <c r="E244" s="185">
        <f>'работа 2 пат'!D350</f>
        <v>2.0100000000000002</v>
      </c>
    </row>
    <row r="245" spans="1:5" x14ac:dyDescent="0.25">
      <c r="A245" s="723"/>
      <c r="B245" s="725"/>
      <c r="C245" s="123" t="str">
        <f>'натур показатели 3 работа'!C231</f>
        <v>Тряпка вискозная</v>
      </c>
      <c r="D245" s="69" t="str">
        <f>'натур показатели 3 работа'!D231</f>
        <v>шт</v>
      </c>
      <c r="E245" s="185">
        <f>'работа 2 пат'!D351</f>
        <v>2.0100000000000002</v>
      </c>
    </row>
    <row r="246" spans="1:5" x14ac:dyDescent="0.25">
      <c r="A246" s="723"/>
      <c r="B246" s="725"/>
      <c r="C246" s="123" t="str">
        <f>'натур показатели 3 работа'!C232</f>
        <v>Тряпки</v>
      </c>
      <c r="D246" s="69" t="str">
        <f>'натур показатели 3 работа'!D232</f>
        <v>шт</v>
      </c>
      <c r="E246" s="185">
        <f>'работа 2 пат'!D352</f>
        <v>2.0100000000000002</v>
      </c>
    </row>
    <row r="247" spans="1:5" x14ac:dyDescent="0.25">
      <c r="A247" s="723"/>
      <c r="B247" s="725"/>
      <c r="C247" s="123" t="str">
        <f>'натур показатели 3 работа'!C233</f>
        <v>Полотенца бумажные</v>
      </c>
      <c r="D247" s="69" t="str">
        <f>'натур показатели 3 работа'!D233</f>
        <v>шт</v>
      </c>
      <c r="E247" s="185">
        <f>'работа 2 пат'!D353</f>
        <v>2.0100000000000002</v>
      </c>
    </row>
    <row r="248" spans="1:5" x14ac:dyDescent="0.25">
      <c r="A248" s="723"/>
      <c r="B248" s="725"/>
      <c r="C248" s="123" t="str">
        <f>'натур показатели 3 работа'!C234</f>
        <v>Железная губка</v>
      </c>
      <c r="D248" s="69" t="str">
        <f>'натур показатели 3 работа'!D234</f>
        <v>шт</v>
      </c>
      <c r="E248" s="185">
        <f>'работа 2 пат'!D354</f>
        <v>0.80400000000000005</v>
      </c>
    </row>
    <row r="249" spans="1:5" x14ac:dyDescent="0.25">
      <c r="A249" s="723"/>
      <c r="B249" s="725"/>
      <c r="C249" s="123" t="str">
        <f>'натур показатели 3 работа'!C235</f>
        <v>Перчатки</v>
      </c>
      <c r="D249" s="69" t="str">
        <f>'натур показатели 3 работа'!D235</f>
        <v>шт</v>
      </c>
      <c r="E249" s="185">
        <f>'работа 2 пат'!D355</f>
        <v>2.0100000000000002</v>
      </c>
    </row>
    <row r="250" spans="1:5" x14ac:dyDescent="0.25">
      <c r="A250" s="723"/>
      <c r="B250" s="725"/>
      <c r="C250" s="123" t="str">
        <f>'натур показатели 3 работа'!C236</f>
        <v>Блок гигиенический для унитаза</v>
      </c>
      <c r="D250" s="69" t="str">
        <f>'натур показатели 3 работа'!D236</f>
        <v>шт</v>
      </c>
      <c r="E250" s="185">
        <f>'работа 2 пат'!D356</f>
        <v>0.80400000000000005</v>
      </c>
    </row>
    <row r="251" spans="1:5" x14ac:dyDescent="0.25">
      <c r="A251" s="723"/>
      <c r="B251" s="725"/>
      <c r="C251" s="123" t="str">
        <f>'натур показатели 3 работа'!C237</f>
        <v>Мыло</v>
      </c>
      <c r="D251" s="69" t="str">
        <f>'натур показатели 3 работа'!D237</f>
        <v>шт</v>
      </c>
      <c r="E251" s="185">
        <f>'работа 2 пат'!D357</f>
        <v>2.0100000000000002</v>
      </c>
    </row>
    <row r="252" spans="1:5" x14ac:dyDescent="0.25">
      <c r="A252" s="723"/>
      <c r="B252" s="725"/>
      <c r="C252" s="123" t="str">
        <f>'натур показатели 3 работа'!C238</f>
        <v>Мешки для мусора 60 л</v>
      </c>
      <c r="D252" s="69" t="str">
        <f>'натур показатели 3 работа'!D238</f>
        <v>шт</v>
      </c>
      <c r="E252" s="185">
        <f>'работа 2 пат'!D358</f>
        <v>4.0200000000000005</v>
      </c>
    </row>
    <row r="253" spans="1:5" x14ac:dyDescent="0.25">
      <c r="A253" s="723"/>
      <c r="B253" s="725"/>
      <c r="C253" s="123" t="str">
        <f>'натур показатели 3 работа'!C239</f>
        <v>Мешки для мусора 120 л</v>
      </c>
      <c r="D253" s="69" t="str">
        <f>'натур показатели 3 работа'!D239</f>
        <v>шт</v>
      </c>
      <c r="E253" s="185">
        <f>'работа 2 пат'!D359</f>
        <v>2.0100000000000002</v>
      </c>
    </row>
    <row r="254" spans="1:5" x14ac:dyDescent="0.25">
      <c r="A254" s="723"/>
      <c r="B254" s="725"/>
      <c r="C254" s="123" t="str">
        <f>'натур показатели 3 работа'!C240</f>
        <v>Мешки для мусора 35 л</v>
      </c>
      <c r="D254" s="69" t="str">
        <f>'натур показатели 3 работа'!D240</f>
        <v>шт</v>
      </c>
      <c r="E254" s="185">
        <f>'работа 2 пат'!D360</f>
        <v>4.0200000000000005</v>
      </c>
    </row>
    <row r="255" spans="1:5" x14ac:dyDescent="0.25">
      <c r="A255" s="723"/>
      <c r="B255" s="725"/>
      <c r="C255" s="123" t="str">
        <f>'натур показатели 3 работа'!C241</f>
        <v>Туалетная бумага</v>
      </c>
      <c r="D255" s="69" t="str">
        <f>'натур показатели 3 работа'!D241</f>
        <v>шт</v>
      </c>
      <c r="E255" s="185">
        <f>'работа 2 пат'!D361</f>
        <v>19.295999999999999</v>
      </c>
    </row>
    <row r="256" spans="1:5" x14ac:dyDescent="0.25">
      <c r="A256" s="723"/>
      <c r="B256" s="725"/>
      <c r="C256" s="123" t="str">
        <f>'натур показатели 3 работа'!C242</f>
        <v>Салфетка</v>
      </c>
      <c r="D256" s="69" t="str">
        <f>'натур показатели 3 работа'!D242</f>
        <v>шт</v>
      </c>
      <c r="E256" s="185">
        <f>'работа 2 пат'!D362</f>
        <v>2.0100000000000002</v>
      </c>
    </row>
    <row r="257" spans="1:5" x14ac:dyDescent="0.25">
      <c r="A257" s="723"/>
      <c r="B257" s="725"/>
      <c r="C257" s="123" t="str">
        <f>'натур показатели 3 работа'!C243</f>
        <v>Пакет</v>
      </c>
      <c r="D257" s="69" t="str">
        <f>'натур показатели 3 работа'!D243</f>
        <v>шт</v>
      </c>
      <c r="E257" s="185">
        <f>'работа 2 пат'!D363</f>
        <v>1.206</v>
      </c>
    </row>
    <row r="258" spans="1:5" x14ac:dyDescent="0.25">
      <c r="A258" s="723"/>
      <c r="B258" s="725"/>
      <c r="C258" s="123" t="str">
        <f>'натур показатели 3 работа'!C244</f>
        <v>Жидкое мыло</v>
      </c>
      <c r="D258" s="69" t="str">
        <f>'натур показатели 3 работа'!D244</f>
        <v>шт</v>
      </c>
      <c r="E258" s="185">
        <f>'работа 2 пат'!D364</f>
        <v>2.0100000000000002</v>
      </c>
    </row>
    <row r="259" spans="1:5" x14ac:dyDescent="0.25">
      <c r="A259" s="723"/>
      <c r="B259" s="725"/>
      <c r="C259" s="123" t="str">
        <f>'натур показатели 3 работа'!C245</f>
        <v>Стеклоочиститель</v>
      </c>
      <c r="D259" s="69" t="str">
        <f>'натур показатели 3 работа'!D245</f>
        <v>шт</v>
      </c>
      <c r="E259" s="185">
        <f>'работа 2 пат'!D365</f>
        <v>1.206</v>
      </c>
    </row>
    <row r="260" spans="1:5" x14ac:dyDescent="0.25">
      <c r="A260" s="723"/>
      <c r="B260" s="725"/>
      <c r="C260" s="123" t="str">
        <f>'натур показатели 3 работа'!C246</f>
        <v>Блок для записи маленький</v>
      </c>
      <c r="D260" s="69" t="str">
        <f>'натур показатели 3 работа'!D246</f>
        <v>шт</v>
      </c>
      <c r="E260" s="185">
        <f>'работа 2 пат'!D366</f>
        <v>0.80400000000000005</v>
      </c>
    </row>
    <row r="261" spans="1:5" x14ac:dyDescent="0.25">
      <c r="A261" s="723"/>
      <c r="B261" s="725"/>
      <c r="C261" s="123" t="str">
        <f>'натур показатели 3 работа'!C247</f>
        <v>Блок для записи большой</v>
      </c>
      <c r="D261" s="69" t="str">
        <f>'натур показатели 3 работа'!D247</f>
        <v>шт</v>
      </c>
      <c r="E261" s="185">
        <f>'работа 2 пат'!D367</f>
        <v>1.206</v>
      </c>
    </row>
    <row r="262" spans="1:5" x14ac:dyDescent="0.25">
      <c r="A262" s="723"/>
      <c r="B262" s="725"/>
      <c r="C262" s="123" t="str">
        <f>'натур показатели 3 работа'!C248</f>
        <v>Скрепки</v>
      </c>
      <c r="D262" s="69" t="str">
        <f>'натур показатели 3 работа'!D248</f>
        <v>шт</v>
      </c>
      <c r="E262" s="185">
        <f>'работа 2 пат'!D368</f>
        <v>4.0200000000000005</v>
      </c>
    </row>
    <row r="263" spans="1:5" x14ac:dyDescent="0.25">
      <c r="A263" s="723"/>
      <c r="B263" s="725"/>
      <c r="C263" s="123" t="str">
        <f>'натур показатели 3 работа'!C249</f>
        <v>Кнопки</v>
      </c>
      <c r="D263" s="69" t="str">
        <f>'натур показатели 3 работа'!D249</f>
        <v>шт</v>
      </c>
      <c r="E263" s="185">
        <f>'работа 2 пат'!D369</f>
        <v>4.0200000000000005</v>
      </c>
    </row>
    <row r="264" spans="1:5" x14ac:dyDescent="0.25">
      <c r="A264" s="723"/>
      <c r="B264" s="725"/>
      <c r="C264" s="123" t="str">
        <f>'натур показатели 3 работа'!C250</f>
        <v>Кнопки</v>
      </c>
      <c r="D264" s="69" t="str">
        <f>'натур показатели 3 работа'!D250</f>
        <v>шт</v>
      </c>
      <c r="E264" s="185">
        <f>'работа 2 пат'!D370</f>
        <v>2.0100000000000002</v>
      </c>
    </row>
    <row r="265" spans="1:5" x14ac:dyDescent="0.25">
      <c r="A265" s="723"/>
      <c r="B265" s="725"/>
      <c r="C265" s="123" t="str">
        <f>'натур показатели 3 работа'!C251</f>
        <v>Степлер №10</v>
      </c>
      <c r="D265" s="69" t="str">
        <f>'натур показатели 3 работа'!D251</f>
        <v>шт</v>
      </c>
      <c r="E265" s="185">
        <f>'работа 2 пат'!D371</f>
        <v>0.40200000000000002</v>
      </c>
    </row>
    <row r="266" spans="1:5" x14ac:dyDescent="0.25">
      <c r="A266" s="723"/>
      <c r="B266" s="725"/>
      <c r="C266" s="123" t="str">
        <f>'натур показатели 3 работа'!C252</f>
        <v>Степлер №24</v>
      </c>
      <c r="D266" s="69" t="str">
        <f>'натур показатели 3 работа'!D252</f>
        <v>шт</v>
      </c>
      <c r="E266" s="185">
        <f>'работа 2 пат'!D372</f>
        <v>0.40200000000000002</v>
      </c>
    </row>
    <row r="267" spans="1:5" x14ac:dyDescent="0.25">
      <c r="A267" s="723"/>
      <c r="B267" s="725"/>
      <c r="C267" s="123" t="str">
        <f>'натур показатели 3 работа'!C253</f>
        <v>Степлер №21</v>
      </c>
      <c r="D267" s="69" t="str">
        <f>'натур показатели 3 работа'!D253</f>
        <v>шт</v>
      </c>
      <c r="E267" s="185">
        <f>'работа 2 пат'!D373</f>
        <v>1.206</v>
      </c>
    </row>
    <row r="268" spans="1:5" x14ac:dyDescent="0.25">
      <c r="A268" s="723"/>
      <c r="B268" s="725"/>
      <c r="C268" s="123" t="str">
        <f>'натур показатели 3 работа'!C254</f>
        <v>Скобы для степлера (большие)</v>
      </c>
      <c r="D268" s="69" t="str">
        <f>'натур показатели 3 работа'!D254</f>
        <v>шт</v>
      </c>
      <c r="E268" s="185">
        <f>'работа 2 пат'!D374</f>
        <v>8.0400000000000009</v>
      </c>
    </row>
    <row r="269" spans="1:5" x14ac:dyDescent="0.25">
      <c r="A269" s="723"/>
      <c r="B269" s="725"/>
      <c r="C269" s="123" t="str">
        <f>'натур показатели 3 работа'!C255</f>
        <v>Скобы для степлера (маленькие)</v>
      </c>
      <c r="D269" s="69" t="str">
        <f>'натур показатели 3 работа'!D255</f>
        <v>шт</v>
      </c>
      <c r="E269" s="185">
        <f>'работа 2 пат'!D375</f>
        <v>4.0200000000000005</v>
      </c>
    </row>
    <row r="270" spans="1:5" x14ac:dyDescent="0.25">
      <c r="A270" s="723"/>
      <c r="B270" s="725"/>
      <c r="C270" s="123" t="str">
        <f>'натур показатели 3 работа'!C256</f>
        <v>Ножницы маленькие</v>
      </c>
      <c r="D270" s="69" t="str">
        <f>'натур показатели 3 работа'!D256</f>
        <v>шт</v>
      </c>
      <c r="E270" s="185">
        <f>'работа 2 пат'!D376</f>
        <v>1.206</v>
      </c>
    </row>
    <row r="271" spans="1:5" x14ac:dyDescent="0.25">
      <c r="A271" s="723"/>
      <c r="B271" s="725"/>
      <c r="C271" s="123" t="str">
        <f>'натур показатели 3 работа'!C257</f>
        <v xml:space="preserve">Ножницы большие </v>
      </c>
      <c r="D271" s="69" t="str">
        <f>'натур показатели 3 работа'!D257</f>
        <v>шт</v>
      </c>
      <c r="E271" s="185">
        <f>'работа 2 пат'!D377</f>
        <v>0.40200000000000002</v>
      </c>
    </row>
    <row r="272" spans="1:5" x14ac:dyDescent="0.25">
      <c r="A272" s="723"/>
      <c r="B272" s="725"/>
      <c r="C272" s="123" t="str">
        <f>'натур показатели 3 работа'!C258</f>
        <v>Ножницы</v>
      </c>
      <c r="D272" s="69" t="str">
        <f>'натур показатели 3 работа'!D258</f>
        <v>шт</v>
      </c>
      <c r="E272" s="185">
        <f>'работа 2 пат'!D378</f>
        <v>4.0200000000000005</v>
      </c>
    </row>
    <row r="273" spans="1:5" x14ac:dyDescent="0.25">
      <c r="A273" s="723"/>
      <c r="B273" s="725"/>
      <c r="C273" s="123" t="str">
        <f>'натур показатели 3 работа'!C259</f>
        <v>Линейка 40 см</v>
      </c>
      <c r="D273" s="69" t="str">
        <f>'натур показатели 3 работа'!D259</f>
        <v>шт</v>
      </c>
      <c r="E273" s="185">
        <f>'работа 2 пат'!D379</f>
        <v>0.80400000000000005</v>
      </c>
    </row>
    <row r="274" spans="1:5" x14ac:dyDescent="0.25">
      <c r="A274" s="723"/>
      <c r="B274" s="725"/>
      <c r="C274" s="123" t="str">
        <f>'натур показатели 3 работа'!C260</f>
        <v>Линейка 30 см</v>
      </c>
      <c r="D274" s="69" t="str">
        <f>'натур показатели 3 работа'!D260</f>
        <v>шт</v>
      </c>
      <c r="E274" s="185">
        <f>'работа 2 пат'!D380</f>
        <v>2.0100000000000002</v>
      </c>
    </row>
    <row r="275" spans="1:5" x14ac:dyDescent="0.25">
      <c r="A275" s="723"/>
      <c r="B275" s="725"/>
      <c r="C275" s="123" t="str">
        <f>'натур показатели 3 работа'!C261</f>
        <v>Линейка 20 см</v>
      </c>
      <c r="D275" s="69" t="str">
        <f>'натур показатели 3 работа'!D261</f>
        <v>шт</v>
      </c>
      <c r="E275" s="185">
        <f>'работа 2 пат'!D381</f>
        <v>1.6080000000000001</v>
      </c>
    </row>
    <row r="276" spans="1:5" x14ac:dyDescent="0.25">
      <c r="A276" s="723"/>
      <c r="B276" s="725"/>
      <c r="C276" s="123" t="str">
        <f>'натур показатели 3 работа'!C262</f>
        <v>Маркер черный толстый</v>
      </c>
      <c r="D276" s="69" t="str">
        <f>'натур показатели 3 работа'!D262</f>
        <v>шт</v>
      </c>
      <c r="E276" s="185">
        <f>'работа 2 пат'!D382</f>
        <v>0.40200000000000002</v>
      </c>
    </row>
    <row r="277" spans="1:5" x14ac:dyDescent="0.25">
      <c r="A277" s="723"/>
      <c r="B277" s="725"/>
      <c r="C277" s="123" t="str">
        <f>'натур показатели 3 работа'!C263</f>
        <v>Маркер черный тонкий</v>
      </c>
      <c r="D277" s="69" t="str">
        <f>'натур показатели 3 работа'!D263</f>
        <v>шт</v>
      </c>
      <c r="E277" s="185">
        <f>'работа 2 пат'!D383</f>
        <v>3.2160000000000002</v>
      </c>
    </row>
    <row r="278" spans="1:5" x14ac:dyDescent="0.25">
      <c r="A278" s="723"/>
      <c r="B278" s="725"/>
      <c r="C278" s="123" t="str">
        <f>'натур показатели 3 работа'!C264</f>
        <v>Маркер (набор)</v>
      </c>
      <c r="D278" s="69" t="str">
        <f>'натур показатели 3 работа'!D264</f>
        <v>шт</v>
      </c>
      <c r="E278" s="185">
        <f>'работа 2 пат'!D384</f>
        <v>0.40200000000000002</v>
      </c>
    </row>
    <row r="279" spans="1:5" x14ac:dyDescent="0.25">
      <c r="A279" s="723"/>
      <c r="B279" s="725"/>
      <c r="C279" s="123" t="str">
        <f>'натур показатели 3 работа'!C265</f>
        <v>Маркер красный</v>
      </c>
      <c r="D279" s="69" t="str">
        <f>'натур показатели 3 работа'!D265</f>
        <v>шт</v>
      </c>
      <c r="E279" s="185">
        <f>'работа 2 пат'!D385</f>
        <v>1.6080000000000001</v>
      </c>
    </row>
    <row r="280" spans="1:5" x14ac:dyDescent="0.25">
      <c r="A280" s="723"/>
      <c r="B280" s="725"/>
      <c r="C280" s="123" t="str">
        <f>'натур показатели 3 работа'!C266</f>
        <v>Маркер (синий)</v>
      </c>
      <c r="D280" s="69" t="str">
        <f>'натур показатели 3 работа'!D266</f>
        <v>шт</v>
      </c>
      <c r="E280" s="185">
        <f>'работа 2 пат'!D386</f>
        <v>0.80400000000000005</v>
      </c>
    </row>
    <row r="281" spans="1:5" x14ac:dyDescent="0.25">
      <c r="A281" s="723"/>
      <c r="B281" s="725"/>
      <c r="C281" s="123" t="str">
        <f>'натур показатели 3 работа'!C267</f>
        <v>Клей маленький</v>
      </c>
      <c r="D281" s="69" t="str">
        <f>'натур показатели 3 работа'!D267</f>
        <v>шт</v>
      </c>
      <c r="E281" s="185">
        <f>'работа 2 пат'!D387</f>
        <v>3.6180000000000003</v>
      </c>
    </row>
    <row r="282" spans="1:5" x14ac:dyDescent="0.25">
      <c r="A282" s="723"/>
      <c r="B282" s="725"/>
      <c r="C282" s="123" t="str">
        <f>'натур показатели 3 работа'!C268</f>
        <v>Клей большой</v>
      </c>
      <c r="D282" s="69" t="str">
        <f>'натур показатели 3 работа'!D268</f>
        <v>шт</v>
      </c>
      <c r="E282" s="185">
        <f>'работа 2 пат'!D388</f>
        <v>2.0100000000000002</v>
      </c>
    </row>
    <row r="283" spans="1:5" x14ac:dyDescent="0.25">
      <c r="A283" s="723"/>
      <c r="B283" s="725"/>
      <c r="C283" s="123" t="str">
        <f>'натур показатели 3 работа'!C269</f>
        <v>Резак для резки бумаги</v>
      </c>
      <c r="D283" s="69" t="str">
        <f>'натур показатели 3 работа'!D269</f>
        <v>шт</v>
      </c>
      <c r="E283" s="185">
        <f>'работа 2 пат'!D389</f>
        <v>0.40200000000000002</v>
      </c>
    </row>
    <row r="284" spans="1:5" x14ac:dyDescent="0.25">
      <c r="A284" s="723"/>
      <c r="B284" s="725"/>
      <c r="C284" s="123" t="str">
        <f>'натур показатели 3 работа'!C270</f>
        <v>Краска</v>
      </c>
      <c r="D284" s="69" t="str">
        <f>'натур показатели 3 работа'!D270</f>
        <v>шт</v>
      </c>
      <c r="E284" s="185">
        <f>'работа 2 пат'!D390</f>
        <v>0.40200000000000002</v>
      </c>
    </row>
    <row r="285" spans="1:5" x14ac:dyDescent="0.25">
      <c r="A285" s="723"/>
      <c r="B285" s="725"/>
      <c r="C285" s="123" t="str">
        <f>'натур показатели 3 работа'!C271</f>
        <v>Зажим маленький</v>
      </c>
      <c r="D285" s="69" t="str">
        <f>'натур показатели 3 работа'!D271</f>
        <v>шт</v>
      </c>
      <c r="E285" s="185">
        <f>'работа 2 пат'!D391</f>
        <v>4.0200000000000005</v>
      </c>
    </row>
    <row r="286" spans="1:5" x14ac:dyDescent="0.25">
      <c r="A286" s="723"/>
      <c r="B286" s="725"/>
      <c r="C286" s="123" t="str">
        <f>'натур показатели 3 работа'!C272</f>
        <v>Зажим большой</v>
      </c>
      <c r="D286" s="69" t="str">
        <f>'натур показатели 3 работа'!D272</f>
        <v>шт</v>
      </c>
      <c r="E286" s="185">
        <f>'работа 2 пат'!D392</f>
        <v>4.0200000000000005</v>
      </c>
    </row>
    <row r="287" spans="1:5" x14ac:dyDescent="0.25">
      <c r="A287" s="723"/>
      <c r="B287" s="725"/>
      <c r="C287" s="123" t="str">
        <f>'натур показатели 3 работа'!C273</f>
        <v>Корректор ручка</v>
      </c>
      <c r="D287" s="69" t="str">
        <f>'натур показатели 3 работа'!D273</f>
        <v>шт</v>
      </c>
      <c r="E287" s="185">
        <f>'работа 2 пат'!D393</f>
        <v>0.80400000000000005</v>
      </c>
    </row>
    <row r="288" spans="1:5" x14ac:dyDescent="0.25">
      <c r="A288" s="723"/>
      <c r="B288" s="725"/>
      <c r="C288" s="123" t="str">
        <f>'натур показатели 3 работа'!C274</f>
        <v>Корректор с кистью</v>
      </c>
      <c r="D288" s="69" t="str">
        <f>'натур показатели 3 работа'!D274</f>
        <v>шт</v>
      </c>
      <c r="E288" s="185">
        <f>'работа 2 пат'!D394</f>
        <v>0.80400000000000005</v>
      </c>
    </row>
    <row r="289" spans="1:5" x14ac:dyDescent="0.25">
      <c r="A289" s="723"/>
      <c r="B289" s="725"/>
      <c r="C289" s="123" t="str">
        <f>'натур показатели 3 работа'!C275</f>
        <v>Скотч</v>
      </c>
      <c r="D289" s="69" t="str">
        <f>'натур показатели 3 работа'!D275</f>
        <v>шт</v>
      </c>
      <c r="E289" s="185">
        <f>'работа 2 пат'!D395</f>
        <v>2.0100000000000002</v>
      </c>
    </row>
    <row r="290" spans="1:5" x14ac:dyDescent="0.25">
      <c r="A290" s="723"/>
      <c r="B290" s="725"/>
      <c r="C290" s="123" t="str">
        <f>'натур показатели 3 работа'!C276</f>
        <v>Нож канцелярский</v>
      </c>
      <c r="D290" s="69" t="str">
        <f>'натур показатели 3 работа'!D276</f>
        <v>шт</v>
      </c>
      <c r="E290" s="185">
        <f>'работа 2 пат'!D396</f>
        <v>4.8239999999999998</v>
      </c>
    </row>
    <row r="291" spans="1:5" x14ac:dyDescent="0.25">
      <c r="A291" s="723"/>
      <c r="B291" s="725"/>
      <c r="C291" s="123" t="str">
        <f>'натур показатели 3 работа'!C277</f>
        <v>Нитки для сшивания (толстые)</v>
      </c>
      <c r="D291" s="69" t="str">
        <f>'натур показатели 3 работа'!D277</f>
        <v>шт</v>
      </c>
      <c r="E291" s="185">
        <f>'работа 2 пат'!D397</f>
        <v>0.40200000000000002</v>
      </c>
    </row>
    <row r="292" spans="1:5" x14ac:dyDescent="0.25">
      <c r="A292" s="723"/>
      <c r="B292" s="725"/>
      <c r="C292" s="123" t="str">
        <f>'натур показатели 3 работа'!C278</f>
        <v>Шило</v>
      </c>
      <c r="D292" s="69" t="str">
        <f>'натур показатели 3 работа'!D278</f>
        <v>шт</v>
      </c>
      <c r="E292" s="185">
        <f>'работа 2 пат'!D398</f>
        <v>0.40200000000000002</v>
      </c>
    </row>
    <row r="293" spans="1:5" x14ac:dyDescent="0.25">
      <c r="A293" s="723"/>
      <c r="B293" s="725"/>
      <c r="C293" s="123" t="str">
        <f>'натур показатели 3 работа'!C279</f>
        <v>Дырокол на 10 листов металл.</v>
      </c>
      <c r="D293" s="69" t="str">
        <f>'натур показатели 3 работа'!D279</f>
        <v>шт</v>
      </c>
      <c r="E293" s="185">
        <f>'работа 2 пат'!D399</f>
        <v>1.6080000000000001</v>
      </c>
    </row>
    <row r="294" spans="1:5" x14ac:dyDescent="0.25">
      <c r="A294" s="723"/>
      <c r="B294" s="725"/>
      <c r="C294" s="123" t="str">
        <f>'натур показатели 3 работа'!C280</f>
        <v>Дырокол на 70 листов черный</v>
      </c>
      <c r="D294" s="69" t="str">
        <f>'натур показатели 3 работа'!D280</f>
        <v>шт</v>
      </c>
      <c r="E294" s="185">
        <f>'работа 2 пат'!D400</f>
        <v>0.40200000000000002</v>
      </c>
    </row>
    <row r="295" spans="1:5" x14ac:dyDescent="0.25">
      <c r="A295" s="723"/>
      <c r="B295" s="725"/>
      <c r="C295" s="123" t="str">
        <f>'натур показатели 3 работа'!C281</f>
        <v>Карандаш простой</v>
      </c>
      <c r="D295" s="69" t="str">
        <f>'натур показатели 3 работа'!D281</f>
        <v>шт</v>
      </c>
      <c r="E295" s="185">
        <f>'работа 2 пат'!D401</f>
        <v>4.0200000000000005</v>
      </c>
    </row>
    <row r="296" spans="1:5" x14ac:dyDescent="0.25">
      <c r="A296" s="723"/>
      <c r="B296" s="725"/>
      <c r="C296" s="123" t="str">
        <f>'натур показатели 3 работа'!C282</f>
        <v>Ручка</v>
      </c>
      <c r="D296" s="69" t="str">
        <f>'натур показатели 3 работа'!D282</f>
        <v>шт</v>
      </c>
      <c r="E296" s="185">
        <f>'работа 2 пат'!D402</f>
        <v>0.40200000000000002</v>
      </c>
    </row>
    <row r="297" spans="1:5" x14ac:dyDescent="0.25">
      <c r="A297" s="723"/>
      <c r="B297" s="725"/>
      <c r="C297" s="123" t="str">
        <f>'натур показатели 3 работа'!C283</f>
        <v>Полотенце</v>
      </c>
      <c r="D297" s="69" t="str">
        <f>'натур показатели 3 работа'!D283</f>
        <v>шт</v>
      </c>
      <c r="E297" s="185">
        <f>'работа 2 пат'!D403</f>
        <v>2.0100000000000002</v>
      </c>
    </row>
    <row r="298" spans="1:5" x14ac:dyDescent="0.25">
      <c r="A298" s="723"/>
      <c r="B298" s="725"/>
      <c r="C298" s="123" t="str">
        <f>'натур показатели 3 работа'!C284</f>
        <v>Комплект веник-совок</v>
      </c>
      <c r="D298" s="69" t="str">
        <f>'натур показатели 3 работа'!D284</f>
        <v>шт</v>
      </c>
      <c r="E298" s="185">
        <f>'работа 2 пат'!D404</f>
        <v>1.206</v>
      </c>
    </row>
    <row r="299" spans="1:5" x14ac:dyDescent="0.25">
      <c r="A299" s="723"/>
      <c r="B299" s="725"/>
      <c r="C299" s="123" t="str">
        <f>'натур показатели 3 работа'!C285</f>
        <v>Насадки на швабру</v>
      </c>
      <c r="D299" s="69" t="str">
        <f>'натур показатели 3 работа'!D285</f>
        <v>шт</v>
      </c>
      <c r="E299" s="185">
        <f>'работа 2 пат'!D405</f>
        <v>1.6080000000000001</v>
      </c>
    </row>
    <row r="300" spans="1:5" x14ac:dyDescent="0.25">
      <c r="A300" s="723"/>
      <c r="B300" s="725"/>
      <c r="C300" s="123" t="str">
        <f>'натур показатели 3 работа'!C286</f>
        <v>Бумага Svetocopy</v>
      </c>
      <c r="D300" s="69" t="str">
        <f>'натур показатели 3 работа'!D286</f>
        <v>шт</v>
      </c>
      <c r="E300" s="185">
        <f>'работа 2 пат'!D406</f>
        <v>12.06</v>
      </c>
    </row>
    <row r="301" spans="1:5" x14ac:dyDescent="0.25">
      <c r="A301" s="723"/>
      <c r="B301" s="725"/>
      <c r="C301" s="123" t="str">
        <f>'натур показатели 3 работа'!C287</f>
        <v>Папка накопитель</v>
      </c>
      <c r="D301" s="69" t="str">
        <f>'натур показатели 3 работа'!D287</f>
        <v>шт</v>
      </c>
      <c r="E301" s="185">
        <f>'работа 2 пат'!D407</f>
        <v>0.40200000000000002</v>
      </c>
    </row>
    <row r="302" spans="1:5" x14ac:dyDescent="0.25">
      <c r="A302" s="723"/>
      <c r="B302" s="725"/>
      <c r="C302" s="123" t="str">
        <f>'натур показатели 3 работа'!C288</f>
        <v>Набор пил колец</v>
      </c>
      <c r="D302" s="69" t="str">
        <f>'натур показатели 3 работа'!D288</f>
        <v>шт</v>
      </c>
      <c r="E302" s="185">
        <f>'работа 2 пат'!D408</f>
        <v>0.40200000000000002</v>
      </c>
    </row>
    <row r="303" spans="1:5" x14ac:dyDescent="0.25">
      <c r="A303" s="723"/>
      <c r="B303" s="725"/>
      <c r="C303" s="123" t="str">
        <f>'натур показатели 3 работа'!C289</f>
        <v>Клей</v>
      </c>
      <c r="D303" s="69" t="str">
        <f>'натур показатели 3 работа'!D289</f>
        <v>шт</v>
      </c>
      <c r="E303" s="185">
        <f>'работа 2 пат'!D409</f>
        <v>0.40200000000000002</v>
      </c>
    </row>
    <row r="304" spans="1:5" x14ac:dyDescent="0.25">
      <c r="A304" s="723"/>
      <c r="B304" s="725"/>
      <c r="C304" s="123" t="str">
        <f>'натур показатели 3 работа'!C290</f>
        <v>Крышка горловины</v>
      </c>
      <c r="D304" s="69" t="str">
        <f>'натур показатели 3 работа'!D290</f>
        <v>шт</v>
      </c>
      <c r="E304" s="185">
        <f>'работа 2 пат'!D410</f>
        <v>0.80400000000000005</v>
      </c>
    </row>
    <row r="305" spans="1:5" x14ac:dyDescent="0.25">
      <c r="A305" s="723"/>
      <c r="B305" s="725"/>
      <c r="C305" s="123" t="str">
        <f>'натур показатели 3 работа'!C291</f>
        <v>папка скоросшиватель</v>
      </c>
      <c r="D305" s="69" t="str">
        <f>'натур показатели 3 работа'!D291</f>
        <v>шт</v>
      </c>
      <c r="E305" s="185">
        <f>'работа 2 пат'!D411</f>
        <v>4.0200000000000005</v>
      </c>
    </row>
    <row r="306" spans="1:5" x14ac:dyDescent="0.25">
      <c r="A306" s="723"/>
      <c r="B306" s="725"/>
      <c r="C306" s="123" t="str">
        <f>'натур показатели 3 работа'!C292</f>
        <v>Прессвол РОР-АР 3,5*2,3м</v>
      </c>
      <c r="D306" s="69" t="s">
        <v>93</v>
      </c>
      <c r="E306" s="185">
        <f>'работа 2 пат'!D412</f>
        <v>0.40200000000000002</v>
      </c>
    </row>
    <row r="307" spans="1:5" x14ac:dyDescent="0.25">
      <c r="A307" s="723"/>
      <c r="B307" s="725"/>
      <c r="C307" s="123" t="str">
        <f>'натур показатели 3 работа'!C293</f>
        <v>плинтус кабель-канал</v>
      </c>
      <c r="D307" s="69" t="s">
        <v>93</v>
      </c>
      <c r="E307" s="185">
        <f>'работа 2 пат'!D413</f>
        <v>1.206</v>
      </c>
    </row>
    <row r="308" spans="1:5" x14ac:dyDescent="0.25">
      <c r="A308" s="723"/>
      <c r="B308" s="725"/>
      <c r="C308" s="123" t="str">
        <f>'натур показатели 3 работа'!C294</f>
        <v>валик малярный L</v>
      </c>
      <c r="D308" s="69" t="s">
        <v>93</v>
      </c>
      <c r="E308" s="185">
        <f>'работа 2 пат'!D414</f>
        <v>0.80400000000000005</v>
      </c>
    </row>
    <row r="309" spans="1:5" x14ac:dyDescent="0.25">
      <c r="A309" s="723"/>
      <c r="B309" s="725"/>
      <c r="C309" s="123" t="str">
        <f>'натур показатели 3 работа'!C295</f>
        <v>валик малярный профи</v>
      </c>
      <c r="D309" s="69" t="s">
        <v>93</v>
      </c>
      <c r="E309" s="185">
        <f>'работа 2 пат'!D415</f>
        <v>0.80400000000000005</v>
      </c>
    </row>
    <row r="310" spans="1:5" x14ac:dyDescent="0.25">
      <c r="A310" s="723"/>
      <c r="B310" s="725"/>
      <c r="C310" s="123" t="str">
        <f>'натур показатели 3 работа'!C296</f>
        <v>кабель-канал</v>
      </c>
      <c r="D310" s="69" t="s">
        <v>93</v>
      </c>
      <c r="E310" s="185">
        <f>'работа 2 пат'!D416</f>
        <v>2.0100000000000002</v>
      </c>
    </row>
    <row r="311" spans="1:5" x14ac:dyDescent="0.25">
      <c r="A311" s="723"/>
      <c r="B311" s="725"/>
      <c r="C311" s="123" t="str">
        <f>'натур показатели 3 работа'!C297</f>
        <v>ванночка малярная</v>
      </c>
      <c r="D311" s="69" t="s">
        <v>93</v>
      </c>
      <c r="E311" s="185">
        <f>'работа 2 пат'!D417</f>
        <v>0.80400000000000005</v>
      </c>
    </row>
    <row r="312" spans="1:5" x14ac:dyDescent="0.25">
      <c r="A312" s="723"/>
      <c r="B312" s="725"/>
      <c r="C312" s="123" t="str">
        <f>'натур показатели 3 работа'!C298</f>
        <v>шайба крановая</v>
      </c>
      <c r="D312" s="69" t="s">
        <v>93</v>
      </c>
      <c r="E312" s="185">
        <f>'работа 2 пат'!D418</f>
        <v>8.0400000000000009</v>
      </c>
    </row>
    <row r="313" spans="1:5" x14ac:dyDescent="0.25">
      <c r="A313" s="723"/>
      <c r="B313" s="725"/>
      <c r="C313" s="123" t="str">
        <f>'натур показатели 3 работа'!C299</f>
        <v>эмаль аэрозоль</v>
      </c>
      <c r="D313" s="69" t="s">
        <v>93</v>
      </c>
      <c r="E313" s="185">
        <f>'работа 2 пат'!D419</f>
        <v>0.80400000000000005</v>
      </c>
    </row>
    <row r="314" spans="1:5" x14ac:dyDescent="0.25">
      <c r="A314" s="723"/>
      <c r="B314" s="725"/>
      <c r="C314" s="123" t="str">
        <f>'натур показатели 3 работа'!C300</f>
        <v>Папка-регистратор</v>
      </c>
      <c r="D314" s="69" t="s">
        <v>93</v>
      </c>
      <c r="E314" s="185">
        <f>'работа 2 пат'!D420</f>
        <v>8.8440000000000012</v>
      </c>
    </row>
    <row r="315" spans="1:5" x14ac:dyDescent="0.25">
      <c r="A315" s="723"/>
      <c r="B315" s="725"/>
      <c r="C315" s="123" t="str">
        <f>'натур показатели 3 работа'!C301</f>
        <v>Блок питания</v>
      </c>
      <c r="D315" s="69" t="s">
        <v>93</v>
      </c>
      <c r="E315" s="185">
        <f>'работа 2 пат'!D421</f>
        <v>0.40200000000000002</v>
      </c>
    </row>
    <row r="316" spans="1:5" x14ac:dyDescent="0.25">
      <c r="A316" s="723"/>
      <c r="B316" s="725"/>
      <c r="C316" s="123" t="str">
        <f>'натур показатели 3 работа'!C302</f>
        <v>Кабель</v>
      </c>
      <c r="D316" s="69" t="s">
        <v>93</v>
      </c>
      <c r="E316" s="185">
        <f>'работа 2 пат'!D422</f>
        <v>1.206</v>
      </c>
    </row>
    <row r="317" spans="1:5" x14ac:dyDescent="0.25">
      <c r="A317" s="723"/>
      <c r="B317" s="725"/>
      <c r="C317" s="123" t="str">
        <f>'натур показатели 3 работа'!C303</f>
        <v>Карта памяти</v>
      </c>
      <c r="D317" s="69" t="s">
        <v>93</v>
      </c>
      <c r="E317" s="185">
        <f>'работа 2 пат'!D423</f>
        <v>0.80400000000000005</v>
      </c>
    </row>
    <row r="318" spans="1:5" x14ac:dyDescent="0.25">
      <c r="A318" s="723"/>
      <c r="B318" s="725"/>
      <c r="C318" s="123" t="str">
        <f>'натур показатели 3 работа'!C304</f>
        <v>Кабель</v>
      </c>
      <c r="D318" s="69" t="s">
        <v>93</v>
      </c>
      <c r="E318" s="185">
        <f>'работа 2 пат'!D424</f>
        <v>0.40200000000000002</v>
      </c>
    </row>
    <row r="319" spans="1:5" x14ac:dyDescent="0.25">
      <c r="A319" s="723"/>
      <c r="B319" s="725"/>
      <c r="C319" s="123" t="str">
        <f>'натур показатели 3 работа'!C305</f>
        <v>Бумага Lomond 230</v>
      </c>
      <c r="D319" s="69" t="s">
        <v>93</v>
      </c>
      <c r="E319" s="185">
        <f>'работа 2 пат'!D425</f>
        <v>0.80400000000000005</v>
      </c>
    </row>
    <row r="320" spans="1:5" x14ac:dyDescent="0.25">
      <c r="A320" s="723"/>
      <c r="B320" s="725"/>
      <c r="C320" s="123" t="str">
        <f>'натур показатели 3 работа'!C306</f>
        <v>Бумага Lomond 140</v>
      </c>
      <c r="D320" s="69" t="s">
        <v>93</v>
      </c>
      <c r="E320" s="185">
        <f>'работа 2 пат'!D426</f>
        <v>0.80400000000000005</v>
      </c>
    </row>
    <row r="321" spans="1:5" x14ac:dyDescent="0.25">
      <c r="A321" s="723"/>
      <c r="B321" s="725"/>
      <c r="C321" s="123" t="str">
        <f>'натур показатели 3 работа'!C307</f>
        <v>Бумага Lomond 200</v>
      </c>
      <c r="D321" s="69" t="s">
        <v>93</v>
      </c>
      <c r="E321" s="185">
        <f>'работа 2 пат'!D427</f>
        <v>0.80400000000000005</v>
      </c>
    </row>
    <row r="322" spans="1:5" x14ac:dyDescent="0.25">
      <c r="A322" s="723"/>
      <c r="B322" s="725"/>
      <c r="C322" s="123" t="str">
        <f>'натур показатели 3 работа'!C308</f>
        <v>Бумага Cactus 180</v>
      </c>
      <c r="D322" s="69" t="s">
        <v>93</v>
      </c>
      <c r="E322" s="185">
        <f>'работа 2 пат'!D428</f>
        <v>0.80400000000000005</v>
      </c>
    </row>
    <row r="323" spans="1:5" x14ac:dyDescent="0.25">
      <c r="A323" s="723"/>
      <c r="B323" s="725"/>
      <c r="C323" s="123" t="str">
        <f>'натур показатели 3 работа'!C309</f>
        <v>Бумага Cactus 230</v>
      </c>
      <c r="D323" s="69" t="s">
        <v>93</v>
      </c>
      <c r="E323" s="185">
        <f>'работа 2 пат'!D429</f>
        <v>0.80400000000000005</v>
      </c>
    </row>
  </sheetData>
  <mergeCells count="18">
    <mergeCell ref="C108:E108"/>
    <mergeCell ref="C51:E51"/>
    <mergeCell ref="A7:A323"/>
    <mergeCell ref="B7:B323"/>
    <mergeCell ref="D1:E1"/>
    <mergeCell ref="A3:E3"/>
    <mergeCell ref="A4:E4"/>
    <mergeCell ref="C7:E7"/>
    <mergeCell ref="C8:E8"/>
    <mergeCell ref="C58:E58"/>
    <mergeCell ref="C84:E84"/>
    <mergeCell ref="C92:E92"/>
    <mergeCell ref="C97:E97"/>
    <mergeCell ref="C102:E102"/>
    <mergeCell ref="C11:E11"/>
    <mergeCell ref="C15:E15"/>
    <mergeCell ref="C50:E50"/>
    <mergeCell ref="C106:E106"/>
  </mergeCells>
  <pageMargins left="0.70866141732283472" right="0.70866141732283472" top="0.74803149606299213" bottom="0.74803149606299213" header="0.31496062992125984" footer="0.31496062992125984"/>
  <pageSetup paperSize="9" scale="55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DS445"/>
  <sheetViews>
    <sheetView view="pageBreakPreview" topLeftCell="A392" zoomScale="75" zoomScaleNormal="70" zoomScaleSheetLayoutView="75" zoomScalePageLayoutView="80" workbookViewId="0">
      <selection sqref="A1:I444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657" t="s">
        <v>51</v>
      </c>
      <c r="B1" s="657"/>
      <c r="C1" s="657"/>
      <c r="D1" s="657"/>
      <c r="E1" s="657"/>
      <c r="F1" s="657"/>
      <c r="G1" s="657"/>
      <c r="H1" s="657"/>
      <c r="I1" s="657"/>
    </row>
    <row r="2" spans="1:123" ht="18.75" x14ac:dyDescent="0.25">
      <c r="A2" s="266" t="str">
        <f>'работа 1 иниц'!A2</f>
        <v>на 06.05.2019 год</v>
      </c>
      <c r="B2" s="266"/>
      <c r="C2" s="266"/>
      <c r="D2" s="266"/>
      <c r="E2" s="266"/>
      <c r="F2" s="266"/>
      <c r="G2" s="266"/>
      <c r="H2" s="266"/>
      <c r="I2" s="266"/>
    </row>
    <row r="3" spans="1:123" ht="57.6" customHeight="1" x14ac:dyDescent="0.25">
      <c r="A3" s="8" t="s">
        <v>148</v>
      </c>
      <c r="B3" s="628" t="s">
        <v>54</v>
      </c>
      <c r="C3" s="628"/>
      <c r="D3" s="628"/>
      <c r="E3" s="628"/>
      <c r="F3" s="628"/>
      <c r="G3" s="628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617"/>
      <c r="X3" s="617"/>
      <c r="Y3" s="617"/>
      <c r="Z3" s="617"/>
      <c r="AA3" s="617"/>
      <c r="AB3" s="617"/>
      <c r="AC3" s="617"/>
      <c r="AD3" s="617"/>
      <c r="AE3" s="617"/>
      <c r="AF3" s="617"/>
      <c r="AG3" s="617"/>
      <c r="AH3" s="617"/>
      <c r="AI3" s="617"/>
      <c r="AJ3" s="617"/>
      <c r="AK3" s="617"/>
      <c r="AL3" s="617"/>
      <c r="AM3" s="617"/>
      <c r="AN3" s="617"/>
      <c r="AO3" s="617"/>
      <c r="AP3" s="617"/>
      <c r="AQ3" s="617"/>
      <c r="AR3" s="617"/>
      <c r="AS3" s="617"/>
      <c r="AT3" s="617"/>
      <c r="AU3" s="617"/>
      <c r="AV3" s="617"/>
      <c r="AW3" s="617"/>
      <c r="AX3" s="617"/>
      <c r="AY3" s="617"/>
      <c r="AZ3" s="617"/>
      <c r="BA3" s="617"/>
      <c r="BB3" s="617"/>
      <c r="BC3" s="617"/>
      <c r="BD3" s="617"/>
      <c r="BE3" s="617"/>
      <c r="BF3" s="617"/>
      <c r="BG3" s="617"/>
      <c r="BH3" s="617"/>
      <c r="BI3" s="617"/>
      <c r="BJ3" s="617"/>
      <c r="BK3" s="617"/>
      <c r="BL3" s="617"/>
      <c r="BM3" s="617"/>
      <c r="BN3" s="617"/>
      <c r="BO3" s="617"/>
      <c r="BP3" s="617"/>
      <c r="BQ3" s="617"/>
      <c r="BR3" s="617"/>
      <c r="BS3" s="617"/>
      <c r="BT3" s="617"/>
      <c r="BU3" s="617"/>
      <c r="BV3" s="617"/>
      <c r="BW3" s="617"/>
      <c r="BX3" s="617"/>
      <c r="BY3" s="617"/>
      <c r="BZ3" s="617"/>
      <c r="CA3" s="617"/>
      <c r="CB3" s="617"/>
      <c r="CC3" s="617"/>
      <c r="CD3" s="617"/>
      <c r="CE3" s="617"/>
      <c r="CF3" s="617"/>
      <c r="CG3" s="617"/>
      <c r="CH3" s="617"/>
      <c r="CI3" s="617"/>
      <c r="CJ3" s="617"/>
      <c r="CK3" s="617"/>
      <c r="CL3" s="617"/>
      <c r="CM3" s="617"/>
      <c r="CN3" s="617"/>
      <c r="CO3" s="617"/>
      <c r="CP3" s="617"/>
      <c r="CQ3" s="617"/>
      <c r="CR3" s="617"/>
      <c r="CS3" s="617"/>
      <c r="CT3" s="617"/>
      <c r="CU3" s="617"/>
      <c r="CV3" s="617"/>
      <c r="CW3" s="617"/>
      <c r="CX3" s="617"/>
      <c r="CY3" s="617"/>
      <c r="CZ3" s="617"/>
      <c r="DA3" s="617"/>
      <c r="DB3" s="617"/>
      <c r="DC3" s="617"/>
      <c r="DD3" s="617"/>
      <c r="DE3" s="617"/>
      <c r="DF3" s="617"/>
      <c r="DG3" s="617"/>
      <c r="DH3" s="617"/>
      <c r="DI3" s="617"/>
      <c r="DJ3" s="617"/>
      <c r="DK3" s="617"/>
      <c r="DL3" s="617"/>
      <c r="DM3" s="617"/>
      <c r="DN3" s="617"/>
      <c r="DO3" s="617"/>
      <c r="DP3" s="617"/>
      <c r="DQ3" s="617"/>
      <c r="DR3" s="617"/>
      <c r="DS3" s="617"/>
    </row>
    <row r="4" spans="1:123" x14ac:dyDescent="0.25">
      <c r="A4" s="661" t="s">
        <v>224</v>
      </c>
      <c r="B4" s="661"/>
      <c r="C4" s="661"/>
      <c r="D4" s="661"/>
      <c r="E4" s="661"/>
    </row>
    <row r="5" spans="1:123" x14ac:dyDescent="0.25">
      <c r="A5" s="662" t="s">
        <v>45</v>
      </c>
      <c r="B5" s="662"/>
      <c r="C5" s="662"/>
      <c r="D5" s="662"/>
      <c r="E5" s="662"/>
    </row>
    <row r="6" spans="1:123" x14ac:dyDescent="0.25">
      <c r="A6" s="662" t="s">
        <v>307</v>
      </c>
      <c r="B6" s="662"/>
      <c r="C6" s="662"/>
      <c r="D6" s="662"/>
      <c r="E6" s="662"/>
    </row>
    <row r="7" spans="1:123" x14ac:dyDescent="0.25">
      <c r="A7" s="540" t="s">
        <v>52</v>
      </c>
      <c r="B7" s="540"/>
      <c r="C7" s="540"/>
      <c r="D7" s="540"/>
      <c r="E7" s="540"/>
    </row>
    <row r="8" spans="1:123" ht="31.15" customHeight="1" x14ac:dyDescent="0.25">
      <c r="A8" s="112" t="s">
        <v>34</v>
      </c>
      <c r="B8" s="70" t="s">
        <v>9</v>
      </c>
      <c r="C8" s="71"/>
      <c r="D8" s="541" t="s">
        <v>10</v>
      </c>
      <c r="E8" s="542"/>
      <c r="F8" s="265" t="s">
        <v>9</v>
      </c>
    </row>
    <row r="9" spans="1:123" x14ac:dyDescent="0.25">
      <c r="A9" s="112"/>
      <c r="B9" s="264"/>
      <c r="C9" s="264"/>
      <c r="D9" s="543" t="str">
        <f>'работа 3 добр'!D10:E10</f>
        <v>Заведующий МЦ</v>
      </c>
      <c r="E9" s="544"/>
      <c r="F9" s="72">
        <v>1</v>
      </c>
    </row>
    <row r="10" spans="1:123" x14ac:dyDescent="0.25">
      <c r="A10" s="70" t="s">
        <v>163</v>
      </c>
      <c r="B10" s="264">
        <v>5.6</v>
      </c>
      <c r="C10" s="264"/>
      <c r="D10" s="545" t="str">
        <f>'[1]2016'!$AE$25</f>
        <v>Водитель</v>
      </c>
      <c r="E10" s="546"/>
      <c r="F10" s="264">
        <v>1</v>
      </c>
    </row>
    <row r="11" spans="1:123" x14ac:dyDescent="0.25">
      <c r="A11" s="70" t="s">
        <v>108</v>
      </c>
      <c r="B11" s="264">
        <v>1</v>
      </c>
      <c r="C11" s="264"/>
      <c r="D11" s="545" t="s">
        <v>101</v>
      </c>
      <c r="E11" s="546"/>
      <c r="F11" s="264">
        <v>0.5</v>
      </c>
    </row>
    <row r="12" spans="1:123" x14ac:dyDescent="0.25">
      <c r="A12" s="112"/>
      <c r="B12" s="264"/>
      <c r="C12" s="264"/>
      <c r="D12" s="545" t="str">
        <f>'[1]2016'!$AE$26</f>
        <v xml:space="preserve">Уборщик служебных помещений </v>
      </c>
      <c r="E12" s="546"/>
      <c r="F12" s="264">
        <v>1</v>
      </c>
    </row>
    <row r="13" spans="1:123" x14ac:dyDescent="0.25">
      <c r="A13" s="73" t="s">
        <v>63</v>
      </c>
      <c r="B13" s="74">
        <f>SUM(B9:B10)+B11</f>
        <v>6.6</v>
      </c>
      <c r="C13" s="73"/>
      <c r="D13" s="547" t="s">
        <v>63</v>
      </c>
      <c r="E13" s="548"/>
      <c r="F13" s="74">
        <f>SUM(F9:F12)</f>
        <v>3.5</v>
      </c>
    </row>
    <row r="14" spans="1:123" x14ac:dyDescent="0.25">
      <c r="A14" s="9" t="s">
        <v>46</v>
      </c>
    </row>
    <row r="15" spans="1:123" x14ac:dyDescent="0.25">
      <c r="A15" s="659" t="s">
        <v>225</v>
      </c>
      <c r="B15" s="659"/>
      <c r="C15" s="659"/>
      <c r="D15" s="659"/>
      <c r="E15" s="659"/>
      <c r="F15" s="659"/>
    </row>
    <row r="16" spans="1:123" x14ac:dyDescent="0.25">
      <c r="A16" s="10" t="s">
        <v>219</v>
      </c>
      <c r="B16" s="10"/>
      <c r="C16" s="10"/>
      <c r="D16" s="10"/>
    </row>
    <row r="17" spans="1:11" x14ac:dyDescent="0.25">
      <c r="A17" s="660" t="s">
        <v>48</v>
      </c>
      <c r="B17" s="660"/>
      <c r="C17" s="660"/>
      <c r="D17" s="660"/>
      <c r="E17" s="660"/>
      <c r="F17" s="660"/>
    </row>
    <row r="18" spans="1:11" x14ac:dyDescent="0.25">
      <c r="A18" s="658" t="s">
        <v>226</v>
      </c>
      <c r="B18" s="658"/>
      <c r="C18" s="267"/>
      <c r="D18" s="171">
        <v>0.40200000000000002</v>
      </c>
      <c r="E18" s="172"/>
    </row>
    <row r="19" spans="1:11" ht="22.9" customHeight="1" x14ac:dyDescent="0.25">
      <c r="A19" s="621" t="s">
        <v>0</v>
      </c>
      <c r="B19" s="621" t="s">
        <v>1</v>
      </c>
      <c r="C19" s="259"/>
      <c r="D19" s="621" t="s">
        <v>2</v>
      </c>
      <c r="E19" s="618" t="s">
        <v>3</v>
      </c>
      <c r="F19" s="620"/>
      <c r="G19" s="621" t="s">
        <v>35</v>
      </c>
      <c r="H19" s="259" t="s">
        <v>5</v>
      </c>
      <c r="I19" s="621" t="s">
        <v>6</v>
      </c>
    </row>
    <row r="20" spans="1:11" ht="31.5" x14ac:dyDescent="0.25">
      <c r="A20" s="621"/>
      <c r="B20" s="621"/>
      <c r="C20" s="259"/>
      <c r="D20" s="621"/>
      <c r="E20" s="259" t="s">
        <v>220</v>
      </c>
      <c r="F20" s="259" t="s">
        <v>223</v>
      </c>
      <c r="G20" s="621"/>
      <c r="H20" s="242" t="s">
        <v>194</v>
      </c>
      <c r="I20" s="621"/>
    </row>
    <row r="21" spans="1:11" x14ac:dyDescent="0.25">
      <c r="A21" s="621"/>
      <c r="B21" s="621"/>
      <c r="C21" s="259"/>
      <c r="D21" s="621"/>
      <c r="E21" s="259" t="s">
        <v>4</v>
      </c>
      <c r="F21" s="173"/>
      <c r="G21" s="621"/>
      <c r="H21" s="259" t="s">
        <v>221</v>
      </c>
      <c r="I21" s="621"/>
    </row>
    <row r="22" spans="1:11" x14ac:dyDescent="0.25">
      <c r="A22" s="621">
        <v>1</v>
      </c>
      <c r="B22" s="621">
        <v>2</v>
      </c>
      <c r="C22" s="259"/>
      <c r="D22" s="621">
        <v>3</v>
      </c>
      <c r="E22" s="621" t="s">
        <v>227</v>
      </c>
      <c r="F22" s="622">
        <v>5</v>
      </c>
      <c r="G22" s="488" t="s">
        <v>7</v>
      </c>
      <c r="H22" s="242" t="s">
        <v>195</v>
      </c>
      <c r="I22" s="488" t="s">
        <v>196</v>
      </c>
    </row>
    <row r="23" spans="1:11" x14ac:dyDescent="0.25">
      <c r="A23" s="621"/>
      <c r="B23" s="621"/>
      <c r="C23" s="259"/>
      <c r="D23" s="621"/>
      <c r="E23" s="621"/>
      <c r="F23" s="623"/>
      <c r="G23" s="488"/>
      <c r="H23" s="54">
        <v>1775.4</v>
      </c>
      <c r="I23" s="488"/>
    </row>
    <row r="24" spans="1:11" x14ac:dyDescent="0.25">
      <c r="A24" s="75" t="s">
        <v>108</v>
      </c>
      <c r="B24" s="93">
        <f>'работа 3 добр'!B25</f>
        <v>53969.5</v>
      </c>
      <c r="C24" s="90"/>
      <c r="D24" s="259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f>G24*H24+12333.51</f>
        <v>351307.73613600008</v>
      </c>
    </row>
    <row r="25" spans="1:11" x14ac:dyDescent="0.25">
      <c r="A25" s="78" t="str">
        <f>A10</f>
        <v>Специалист по работе с молодежью</v>
      </c>
      <c r="B25" s="37">
        <f>'работа 3 добр'!B26</f>
        <v>38488.199999999997</v>
      </c>
      <c r="C25" s="198"/>
      <c r="D25" s="259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f>G25*H25+12333.49+12333.72</f>
        <v>1378403.0003641597</v>
      </c>
    </row>
    <row r="26" spans="1:11" ht="18.75" x14ac:dyDescent="0.3">
      <c r="A26" s="618" t="s">
        <v>8</v>
      </c>
      <c r="B26" s="619"/>
      <c r="C26" s="619"/>
      <c r="D26" s="619"/>
      <c r="E26" s="619"/>
      <c r="F26" s="619"/>
      <c r="G26" s="619"/>
      <c r="H26" s="620"/>
      <c r="I26" s="297">
        <f>SUM(I24:I25)</f>
        <v>1729710.7365001598</v>
      </c>
      <c r="J26" s="199">
        <f>I26+G99</f>
        <v>2574771.4974561599</v>
      </c>
      <c r="K26" s="200" t="s">
        <v>119</v>
      </c>
    </row>
    <row r="27" spans="1:11" ht="16.5" hidden="1" x14ac:dyDescent="0.25">
      <c r="A27" s="499" t="s">
        <v>189</v>
      </c>
      <c r="B27" s="499"/>
      <c r="C27" s="499"/>
      <c r="D27" s="499"/>
      <c r="E27" s="499"/>
      <c r="F27" s="499"/>
      <c r="G27" s="499"/>
      <c r="H27" s="499"/>
      <c r="I27" s="201"/>
      <c r="J27" s="199"/>
      <c r="K27" s="200"/>
    </row>
    <row r="28" spans="1:11" ht="16.5" hidden="1" x14ac:dyDescent="0.25">
      <c r="A28" s="501" t="s">
        <v>67</v>
      </c>
      <c r="B28" s="522" t="s">
        <v>178</v>
      </c>
      <c r="C28" s="522"/>
      <c r="D28" s="522" t="s">
        <v>179</v>
      </c>
      <c r="E28" s="522"/>
      <c r="F28" s="522"/>
      <c r="G28" s="530"/>
      <c r="H28" s="530"/>
      <c r="I28" s="201"/>
      <c r="J28" s="199"/>
      <c r="K28" s="200"/>
    </row>
    <row r="29" spans="1:11" ht="16.5" hidden="1" customHeight="1" x14ac:dyDescent="0.25">
      <c r="A29" s="502"/>
      <c r="B29" s="522"/>
      <c r="C29" s="522"/>
      <c r="D29" s="522" t="s">
        <v>180</v>
      </c>
      <c r="E29" s="501" t="s">
        <v>181</v>
      </c>
      <c r="F29" s="624" t="s">
        <v>182</v>
      </c>
      <c r="G29" s="501" t="s">
        <v>188</v>
      </c>
      <c r="H29" s="501" t="s">
        <v>6</v>
      </c>
      <c r="I29" s="201"/>
      <c r="J29" s="199"/>
      <c r="K29" s="200"/>
    </row>
    <row r="30" spans="1:11" ht="16.5" hidden="1" x14ac:dyDescent="0.25">
      <c r="A30" s="503"/>
      <c r="B30" s="522"/>
      <c r="C30" s="522"/>
      <c r="D30" s="522"/>
      <c r="E30" s="503"/>
      <c r="F30" s="514"/>
      <c r="G30" s="503"/>
      <c r="H30" s="503"/>
      <c r="I30" s="201"/>
      <c r="J30" s="199"/>
      <c r="K30" s="200"/>
    </row>
    <row r="31" spans="1:11" ht="16.5" hidden="1" x14ac:dyDescent="0.25">
      <c r="A31" s="250">
        <v>1</v>
      </c>
      <c r="B31" s="515">
        <v>2</v>
      </c>
      <c r="C31" s="516"/>
      <c r="D31" s="250">
        <v>3</v>
      </c>
      <c r="E31" s="250">
        <v>4</v>
      </c>
      <c r="F31" s="250">
        <v>5</v>
      </c>
      <c r="G31" s="250">
        <v>6</v>
      </c>
      <c r="H31" s="250">
        <v>7</v>
      </c>
      <c r="I31" s="201"/>
      <c r="J31" s="199"/>
      <c r="K31" s="200"/>
    </row>
    <row r="32" spans="1:11" ht="16.5" hidden="1" x14ac:dyDescent="0.25">
      <c r="A32" s="237" t="s">
        <v>108</v>
      </c>
      <c r="B32" s="237">
        <v>0.39300000000000002</v>
      </c>
      <c r="C32" s="238">
        <v>1</v>
      </c>
      <c r="D32" s="165">
        <v>2074.6</v>
      </c>
      <c r="E32" s="124">
        <f t="shared" ref="E32:E33" si="0">D32*12</f>
        <v>24895.199999999997</v>
      </c>
      <c r="F32" s="165">
        <f>18363.9*0.393</f>
        <v>7217.0127000000011</v>
      </c>
      <c r="G32" s="202">
        <f>F32*30.2%</f>
        <v>2179.5378354000004</v>
      </c>
      <c r="H32" s="202">
        <f>F32+G32</f>
        <v>9396.5505354000015</v>
      </c>
      <c r="I32" s="201"/>
      <c r="J32" s="199"/>
      <c r="K32" s="200"/>
    </row>
    <row r="33" spans="1:11" ht="15.6" hidden="1" customHeight="1" x14ac:dyDescent="0.25">
      <c r="A33" s="237" t="s">
        <v>184</v>
      </c>
      <c r="B33" s="515">
        <f>5.6*0.393</f>
        <v>2.2008000000000001</v>
      </c>
      <c r="C33" s="516"/>
      <c r="D33" s="165">
        <f>1302.85*B33</f>
        <v>2867.3122800000001</v>
      </c>
      <c r="E33" s="124">
        <f t="shared" si="0"/>
        <v>34407.747360000001</v>
      </c>
      <c r="F33" s="165">
        <f>64311.87*0.393</f>
        <v>25274.564910000001</v>
      </c>
      <c r="G33" s="202">
        <f>F33*30.2%</f>
        <v>7632.9186028200002</v>
      </c>
      <c r="H33" s="202">
        <f>F33+G33</f>
        <v>32907.483512819999</v>
      </c>
    </row>
    <row r="34" spans="1:11" ht="18.75" hidden="1" x14ac:dyDescent="0.25">
      <c r="A34" s="251"/>
      <c r="B34" s="523">
        <f>SUM(B32:C33)</f>
        <v>3.5937999999999999</v>
      </c>
      <c r="C34" s="523"/>
      <c r="D34" s="141">
        <f>SUM(D32:D33)</f>
        <v>4941.9122800000005</v>
      </c>
      <c r="E34" s="141">
        <f>SUM(E32:E33)</f>
        <v>59302.947359999998</v>
      </c>
      <c r="F34" s="141">
        <f>SUM(F32:F33)</f>
        <v>32491.57761</v>
      </c>
      <c r="G34" s="141">
        <f>SUM(G32:G33)</f>
        <v>9812.4564382200006</v>
      </c>
      <c r="H34" s="292"/>
      <c r="I34" s="183"/>
    </row>
    <row r="35" spans="1:11" s="45" customFormat="1" ht="14.45" hidden="1" customHeight="1" x14ac:dyDescent="0.25">
      <c r="A35" s="499" t="s">
        <v>193</v>
      </c>
      <c r="B35" s="499"/>
      <c r="C35" s="499"/>
      <c r="D35" s="499"/>
      <c r="E35" s="499"/>
      <c r="F35" s="499"/>
      <c r="G35" s="499"/>
      <c r="H35" s="499"/>
      <c r="I35" s="166"/>
      <c r="J35" s="166"/>
    </row>
    <row r="36" spans="1:11" s="45" customFormat="1" ht="28.9" hidden="1" customHeight="1" x14ac:dyDescent="0.25">
      <c r="A36" s="501" t="s">
        <v>67</v>
      </c>
      <c r="B36" s="522" t="s">
        <v>178</v>
      </c>
      <c r="C36" s="522"/>
      <c r="D36" s="510" t="s">
        <v>179</v>
      </c>
      <c r="E36" s="512"/>
      <c r="F36" s="252"/>
    </row>
    <row r="37" spans="1:11" s="45" customFormat="1" ht="14.45" hidden="1" customHeight="1" x14ac:dyDescent="0.25">
      <c r="A37" s="502"/>
      <c r="B37" s="522"/>
      <c r="C37" s="522"/>
      <c r="D37" s="522" t="s">
        <v>180</v>
      </c>
      <c r="E37" s="501" t="s">
        <v>188</v>
      </c>
      <c r="F37" s="501" t="s">
        <v>192</v>
      </c>
    </row>
    <row r="38" spans="1:11" s="45" customFormat="1" ht="15" hidden="1" x14ac:dyDescent="0.25">
      <c r="A38" s="503"/>
      <c r="B38" s="522"/>
      <c r="C38" s="522"/>
      <c r="D38" s="522"/>
      <c r="E38" s="503"/>
      <c r="F38" s="503"/>
    </row>
    <row r="39" spans="1:11" s="45" customFormat="1" ht="15" hidden="1" x14ac:dyDescent="0.25">
      <c r="A39" s="250">
        <v>1</v>
      </c>
      <c r="B39" s="515">
        <v>2</v>
      </c>
      <c r="C39" s="516"/>
      <c r="D39" s="250">
        <v>3</v>
      </c>
      <c r="E39" s="250">
        <v>6</v>
      </c>
      <c r="F39" s="250">
        <v>7</v>
      </c>
    </row>
    <row r="40" spans="1:11" s="45" customFormat="1" ht="15" hidden="1" x14ac:dyDescent="0.25">
      <c r="A40" s="237" t="s">
        <v>184</v>
      </c>
      <c r="B40" s="515">
        <f>B33</f>
        <v>2.2008000000000001</v>
      </c>
      <c r="C40" s="516"/>
      <c r="D40" s="165">
        <v>4218.1400000000003</v>
      </c>
      <c r="E40" s="202">
        <f>D40*30.2%</f>
        <v>1273.8782800000001</v>
      </c>
      <c r="F40" s="202">
        <f>(E40+D40)*B40*12+27.46</f>
        <v>145069.46596748798</v>
      </c>
    </row>
    <row r="41" spans="1:11" s="45" customFormat="1" ht="18.75" hidden="1" x14ac:dyDescent="0.25">
      <c r="A41" s="251"/>
      <c r="B41" s="523">
        <f>SUM(B40:C40)</f>
        <v>2.2008000000000001</v>
      </c>
      <c r="C41" s="523"/>
      <c r="D41" s="141">
        <f>SUM(D40:D40)</f>
        <v>4218.1400000000003</v>
      </c>
      <c r="E41" s="141">
        <f>SUM(E40:E40)</f>
        <v>1273.8782800000001</v>
      </c>
      <c r="F41" s="292"/>
    </row>
    <row r="42" spans="1:11" x14ac:dyDescent="0.25">
      <c r="D42" s="174">
        <f>D18</f>
        <v>0.40200000000000002</v>
      </c>
      <c r="K42" s="203"/>
    </row>
    <row r="43" spans="1:11" ht="24.6" customHeight="1" x14ac:dyDescent="0.25">
      <c r="A43" s="621" t="s">
        <v>139</v>
      </c>
      <c r="B43" s="621"/>
      <c r="C43" s="259"/>
      <c r="D43" s="259" t="s">
        <v>11</v>
      </c>
      <c r="E43" s="259" t="s">
        <v>53</v>
      </c>
      <c r="F43" s="259" t="s">
        <v>15</v>
      </c>
      <c r="G43" s="260" t="s">
        <v>6</v>
      </c>
    </row>
    <row r="44" spans="1:11" x14ac:dyDescent="0.25">
      <c r="A44" s="618">
        <v>1</v>
      </c>
      <c r="B44" s="620"/>
      <c r="C44" s="258"/>
      <c r="D44" s="259">
        <v>2</v>
      </c>
      <c r="E44" s="77">
        <v>3</v>
      </c>
      <c r="F44" s="259">
        <v>4</v>
      </c>
      <c r="G44" s="80" t="s">
        <v>75</v>
      </c>
    </row>
    <row r="45" spans="1:11" x14ac:dyDescent="0.25">
      <c r="A45" s="643" t="str">
        <f>'работа 3 добр'!A53</f>
        <v>Суточные</v>
      </c>
      <c r="B45" s="644"/>
      <c r="C45" s="262"/>
      <c r="D45" s="259" t="str">
        <f>'работа 3 добр'!D53</f>
        <v>сутки</v>
      </c>
      <c r="E45" s="309">
        <f>D42</f>
        <v>0.40200000000000002</v>
      </c>
      <c r="F45" s="272">
        <f>'работа 3 добр'!F53</f>
        <v>13500</v>
      </c>
      <c r="G45" s="86">
        <f>E45*F45</f>
        <v>5427</v>
      </c>
      <c r="I45" s="183"/>
      <c r="J45" s="7">
        <v>2574771.5</v>
      </c>
      <c r="K45" s="199" t="s">
        <v>120</v>
      </c>
    </row>
    <row r="46" spans="1:11" x14ac:dyDescent="0.25">
      <c r="A46" s="643" t="str">
        <f>'работа 3 добр'!A54</f>
        <v>Проезд</v>
      </c>
      <c r="B46" s="644"/>
      <c r="C46" s="262"/>
      <c r="D46" s="259" t="str">
        <f>'работа 3 добр'!D54</f>
        <v xml:space="preserve">Ед. </v>
      </c>
      <c r="E46" s="309">
        <f>E45</f>
        <v>0.40200000000000002</v>
      </c>
      <c r="F46" s="272">
        <f>'работа 3 добр'!F54</f>
        <v>60000</v>
      </c>
      <c r="G46" s="86">
        <f>E46*F46</f>
        <v>24120</v>
      </c>
      <c r="J46" s="183">
        <f>J45-J26</f>
        <v>2.5438400916755199E-3</v>
      </c>
      <c r="K46" s="199" t="s">
        <v>135</v>
      </c>
    </row>
    <row r="47" spans="1:11" x14ac:dyDescent="0.25">
      <c r="A47" s="643" t="str">
        <f>'работа 3 добр'!A55</f>
        <v>Проживание (гостиница)</v>
      </c>
      <c r="B47" s="644"/>
      <c r="C47" s="262"/>
      <c r="D47" s="259" t="str">
        <f>'работа 3 добр'!D55</f>
        <v>сутки</v>
      </c>
      <c r="E47" s="309">
        <f>E45</f>
        <v>0.40200000000000002</v>
      </c>
      <c r="F47" s="272">
        <f>'работа 3 добр'!F55</f>
        <v>7499.98</v>
      </c>
      <c r="G47" s="86">
        <f>E47*F47</f>
        <v>3014.9919599999998</v>
      </c>
    </row>
    <row r="48" spans="1:11" x14ac:dyDescent="0.25">
      <c r="A48" s="261" t="str">
        <f>'работа 3 добр'!A56</f>
        <v>Проживание (квартирные)</v>
      </c>
      <c r="B48" s="308"/>
      <c r="C48" s="308"/>
      <c r="D48" s="259" t="str">
        <f>'работа 3 добр'!D56</f>
        <v>сутки</v>
      </c>
      <c r="E48" s="309">
        <f>E45</f>
        <v>0.40200000000000002</v>
      </c>
      <c r="F48" s="272">
        <f>'работа 3 добр'!F56</f>
        <v>3375</v>
      </c>
      <c r="G48" s="86">
        <f>E48*F48</f>
        <v>1356.75</v>
      </c>
    </row>
    <row r="49" spans="1:11" ht="18.75" x14ac:dyDescent="0.25">
      <c r="A49" s="625" t="s">
        <v>64</v>
      </c>
      <c r="B49" s="626"/>
      <c r="C49" s="626"/>
      <c r="D49" s="626"/>
      <c r="E49" s="626"/>
      <c r="F49" s="627"/>
      <c r="G49" s="298">
        <f>SUM(G45:G48)</f>
        <v>33918.741959999999</v>
      </c>
    </row>
    <row r="50" spans="1:11" x14ac:dyDescent="0.25">
      <c r="A50" s="629" t="s">
        <v>137</v>
      </c>
      <c r="B50" s="629"/>
      <c r="C50" s="629"/>
      <c r="D50" s="629"/>
      <c r="E50" s="629"/>
      <c r="F50" s="629"/>
    </row>
    <row r="51" spans="1:11" ht="15.6" customHeight="1" x14ac:dyDescent="0.25">
      <c r="D51" s="174"/>
      <c r="F51" s="175">
        <v>1</v>
      </c>
    </row>
    <row r="52" spans="1:11" ht="12" customHeight="1" x14ac:dyDescent="0.25">
      <c r="A52" s="630" t="s">
        <v>140</v>
      </c>
      <c r="B52" s="631"/>
      <c r="C52" s="259"/>
      <c r="D52" s="622" t="s">
        <v>11</v>
      </c>
      <c r="E52" s="622" t="s">
        <v>53</v>
      </c>
      <c r="F52" s="622" t="s">
        <v>15</v>
      </c>
      <c r="G52" s="634" t="s">
        <v>6</v>
      </c>
      <c r="K52" s="203"/>
    </row>
    <row r="53" spans="1:11" ht="9" hidden="1" customHeight="1" x14ac:dyDescent="0.25">
      <c r="A53" s="632"/>
      <c r="B53" s="633"/>
      <c r="C53" s="259"/>
      <c r="D53" s="623"/>
      <c r="E53" s="623"/>
      <c r="F53" s="623"/>
      <c r="G53" s="635"/>
      <c r="K53" s="175"/>
    </row>
    <row r="54" spans="1:11" x14ac:dyDescent="0.25">
      <c r="A54" s="618">
        <v>1</v>
      </c>
      <c r="B54" s="620"/>
      <c r="C54" s="258"/>
      <c r="D54" s="259">
        <v>2</v>
      </c>
      <c r="E54" s="259">
        <v>3</v>
      </c>
      <c r="F54" s="259">
        <v>4</v>
      </c>
      <c r="G54" s="80" t="s">
        <v>75</v>
      </c>
    </row>
    <row r="55" spans="1:11" x14ac:dyDescent="0.25">
      <c r="A55" s="707" t="s">
        <v>257</v>
      </c>
      <c r="B55" s="708"/>
      <c r="C55" s="708"/>
      <c r="D55" s="714"/>
      <c r="E55" s="718"/>
      <c r="F55" s="720"/>
      <c r="G55" s="80"/>
    </row>
    <row r="56" spans="1:11" x14ac:dyDescent="0.25">
      <c r="A56" s="98" t="s">
        <v>551</v>
      </c>
      <c r="B56" s="99"/>
      <c r="C56" s="99"/>
      <c r="D56" s="184" t="s">
        <v>93</v>
      </c>
      <c r="E56" s="96">
        <v>12</v>
      </c>
      <c r="F56" s="97">
        <v>600</v>
      </c>
      <c r="G56" s="80">
        <f>E56*F56</f>
        <v>7200</v>
      </c>
    </row>
    <row r="57" spans="1:11" x14ac:dyDescent="0.25">
      <c r="A57" s="98" t="s">
        <v>136</v>
      </c>
      <c r="B57" s="99"/>
      <c r="C57" s="99"/>
      <c r="D57" s="184" t="s">
        <v>255</v>
      </c>
      <c r="E57" s="96">
        <v>13</v>
      </c>
      <c r="F57" s="97">
        <v>1400</v>
      </c>
      <c r="G57" s="80">
        <f t="shared" ref="G57:G83" si="1">E57*F57</f>
        <v>18200</v>
      </c>
    </row>
    <row r="58" spans="1:11" x14ac:dyDescent="0.25">
      <c r="A58" s="707" t="s">
        <v>258</v>
      </c>
      <c r="B58" s="708"/>
      <c r="C58" s="708"/>
      <c r="D58" s="714"/>
      <c r="E58" s="719"/>
      <c r="F58" s="721"/>
      <c r="G58" s="80"/>
    </row>
    <row r="59" spans="1:11" x14ac:dyDescent="0.25">
      <c r="A59" s="98" t="s">
        <v>259</v>
      </c>
      <c r="B59" s="99"/>
      <c r="C59" s="99"/>
      <c r="D59" s="184" t="s">
        <v>93</v>
      </c>
      <c r="E59" s="96">
        <v>5</v>
      </c>
      <c r="F59" s="97">
        <v>600</v>
      </c>
      <c r="G59" s="80">
        <f t="shared" si="1"/>
        <v>3000</v>
      </c>
    </row>
    <row r="60" spans="1:11" x14ac:dyDescent="0.25">
      <c r="A60" s="98" t="s">
        <v>260</v>
      </c>
      <c r="B60" s="99"/>
      <c r="C60" s="99"/>
      <c r="D60" s="184" t="s">
        <v>93</v>
      </c>
      <c r="E60" s="96">
        <v>6</v>
      </c>
      <c r="F60" s="97">
        <v>1500</v>
      </c>
      <c r="G60" s="80">
        <f t="shared" si="1"/>
        <v>9000</v>
      </c>
    </row>
    <row r="61" spans="1:11" x14ac:dyDescent="0.25">
      <c r="A61" s="707" t="s">
        <v>261</v>
      </c>
      <c r="B61" s="708"/>
      <c r="C61" s="708"/>
      <c r="D61" s="714"/>
      <c r="E61" s="718"/>
      <c r="F61" s="720"/>
      <c r="G61" s="80"/>
    </row>
    <row r="62" spans="1:11" x14ac:dyDescent="0.25">
      <c r="A62" s="709" t="s">
        <v>552</v>
      </c>
      <c r="B62" s="710"/>
      <c r="C62" s="710"/>
      <c r="D62" s="715" t="s">
        <v>121</v>
      </c>
      <c r="E62" s="96">
        <v>10</v>
      </c>
      <c r="F62" s="97">
        <v>800</v>
      </c>
      <c r="G62" s="80">
        <f t="shared" si="1"/>
        <v>8000</v>
      </c>
    </row>
    <row r="63" spans="1:11" x14ac:dyDescent="0.25">
      <c r="A63" s="98" t="s">
        <v>553</v>
      </c>
      <c r="B63" s="99"/>
      <c r="C63" s="99"/>
      <c r="D63" s="184" t="s">
        <v>121</v>
      </c>
      <c r="E63" s="96">
        <v>3</v>
      </c>
      <c r="F63" s="97">
        <v>650</v>
      </c>
      <c r="G63" s="80">
        <f t="shared" si="1"/>
        <v>1950</v>
      </c>
    </row>
    <row r="64" spans="1:11" x14ac:dyDescent="0.25">
      <c r="A64" s="98" t="s">
        <v>554</v>
      </c>
      <c r="B64" s="99"/>
      <c r="C64" s="99"/>
      <c r="D64" s="184" t="s">
        <v>141</v>
      </c>
      <c r="E64" s="96">
        <v>4</v>
      </c>
      <c r="F64" s="97">
        <v>900</v>
      </c>
      <c r="G64" s="80">
        <f t="shared" si="1"/>
        <v>3600</v>
      </c>
    </row>
    <row r="65" spans="1:7" x14ac:dyDescent="0.25">
      <c r="A65" s="707" t="s">
        <v>262</v>
      </c>
      <c r="B65" s="708"/>
      <c r="C65" s="708"/>
      <c r="D65" s="714"/>
      <c r="E65" s="718"/>
      <c r="F65" s="720"/>
      <c r="G65" s="80"/>
    </row>
    <row r="66" spans="1:7" x14ac:dyDescent="0.25">
      <c r="A66" s="705" t="s">
        <v>555</v>
      </c>
      <c r="B66" s="706"/>
      <c r="C66" s="706"/>
      <c r="D66" s="716" t="s">
        <v>93</v>
      </c>
      <c r="E66" s="96">
        <v>300</v>
      </c>
      <c r="F66" s="97">
        <v>32</v>
      </c>
      <c r="G66" s="80">
        <f t="shared" si="1"/>
        <v>9600</v>
      </c>
    </row>
    <row r="67" spans="1:7" x14ac:dyDescent="0.25">
      <c r="A67" s="98" t="s">
        <v>556</v>
      </c>
      <c r="B67" s="99"/>
      <c r="C67" s="99"/>
      <c r="D67" s="184" t="s">
        <v>93</v>
      </c>
      <c r="E67" s="96">
        <v>330</v>
      </c>
      <c r="F67" s="97">
        <v>9</v>
      </c>
      <c r="G67" s="80">
        <f t="shared" si="1"/>
        <v>2970</v>
      </c>
    </row>
    <row r="68" spans="1:7" x14ac:dyDescent="0.25">
      <c r="A68" s="98" t="s">
        <v>263</v>
      </c>
      <c r="B68" s="99"/>
      <c r="C68" s="99"/>
      <c r="D68" s="184" t="s">
        <v>93</v>
      </c>
      <c r="E68" s="96">
        <v>1</v>
      </c>
      <c r="F68" s="97">
        <v>3000</v>
      </c>
      <c r="G68" s="80">
        <f t="shared" si="1"/>
        <v>3000</v>
      </c>
    </row>
    <row r="69" spans="1:7" x14ac:dyDescent="0.25">
      <c r="A69" s="98" t="s">
        <v>264</v>
      </c>
      <c r="B69" s="99"/>
      <c r="C69" s="99"/>
      <c r="D69" s="184" t="s">
        <v>93</v>
      </c>
      <c r="E69" s="96">
        <v>5</v>
      </c>
      <c r="F69" s="97">
        <v>4786</v>
      </c>
      <c r="G69" s="80">
        <f t="shared" si="1"/>
        <v>23930</v>
      </c>
    </row>
    <row r="70" spans="1:7" x14ac:dyDescent="0.25">
      <c r="A70" s="707" t="s">
        <v>265</v>
      </c>
      <c r="B70" s="708"/>
      <c r="C70" s="708"/>
      <c r="D70" s="714"/>
      <c r="E70" s="718"/>
      <c r="F70" s="720"/>
      <c r="G70" s="80">
        <f t="shared" si="1"/>
        <v>0</v>
      </c>
    </row>
    <row r="71" spans="1:7" x14ac:dyDescent="0.25">
      <c r="A71" s="98" t="s">
        <v>235</v>
      </c>
      <c r="B71" s="99"/>
      <c r="C71" s="99"/>
      <c r="D71" s="184" t="s">
        <v>93</v>
      </c>
      <c r="E71" s="96">
        <v>4</v>
      </c>
      <c r="F71" s="97">
        <v>2500</v>
      </c>
      <c r="G71" s="80">
        <f t="shared" si="1"/>
        <v>10000</v>
      </c>
    </row>
    <row r="72" spans="1:7" x14ac:dyDescent="0.25">
      <c r="A72" s="98" t="s">
        <v>263</v>
      </c>
      <c r="B72" s="99"/>
      <c r="C72" s="99"/>
      <c r="D72" s="184" t="s">
        <v>93</v>
      </c>
      <c r="E72" s="96">
        <v>1</v>
      </c>
      <c r="F72" s="97">
        <v>3450</v>
      </c>
      <c r="G72" s="80">
        <f t="shared" si="1"/>
        <v>3450</v>
      </c>
    </row>
    <row r="73" spans="1:7" x14ac:dyDescent="0.25">
      <c r="A73" s="707" t="s">
        <v>266</v>
      </c>
      <c r="B73" s="708"/>
      <c r="C73" s="708"/>
      <c r="D73" s="714"/>
      <c r="E73" s="718"/>
      <c r="F73" s="720"/>
      <c r="G73" s="80">
        <f t="shared" si="1"/>
        <v>0</v>
      </c>
    </row>
    <row r="74" spans="1:7" x14ac:dyDescent="0.25">
      <c r="A74" s="98" t="s">
        <v>235</v>
      </c>
      <c r="B74" s="99"/>
      <c r="C74" s="99"/>
      <c r="D74" s="184" t="s">
        <v>93</v>
      </c>
      <c r="E74" s="96">
        <v>3</v>
      </c>
      <c r="F74" s="97">
        <v>1500</v>
      </c>
      <c r="G74" s="80">
        <f t="shared" si="1"/>
        <v>4500</v>
      </c>
    </row>
    <row r="75" spans="1:7" x14ac:dyDescent="0.25">
      <c r="A75" s="98" t="s">
        <v>267</v>
      </c>
      <c r="B75" s="99"/>
      <c r="C75" s="99"/>
      <c r="D75" s="184" t="s">
        <v>93</v>
      </c>
      <c r="E75" s="96">
        <v>10</v>
      </c>
      <c r="F75" s="97">
        <v>450</v>
      </c>
      <c r="G75" s="80">
        <f t="shared" si="1"/>
        <v>4500</v>
      </c>
    </row>
    <row r="76" spans="1:7" x14ac:dyDescent="0.25">
      <c r="A76" s="98" t="s">
        <v>263</v>
      </c>
      <c r="B76" s="99"/>
      <c r="C76" s="99"/>
      <c r="D76" s="184" t="s">
        <v>93</v>
      </c>
      <c r="E76" s="96">
        <v>1</v>
      </c>
      <c r="F76" s="97">
        <v>1380</v>
      </c>
      <c r="G76" s="80">
        <f t="shared" si="1"/>
        <v>1380</v>
      </c>
    </row>
    <row r="77" spans="1:7" x14ac:dyDescent="0.25">
      <c r="A77" s="707" t="s">
        <v>268</v>
      </c>
      <c r="B77" s="708"/>
      <c r="C77" s="708"/>
      <c r="D77" s="714"/>
      <c r="E77" s="718"/>
      <c r="F77" s="720"/>
      <c r="G77" s="80">
        <f t="shared" si="1"/>
        <v>0</v>
      </c>
    </row>
    <row r="78" spans="1:7" x14ac:dyDescent="0.25">
      <c r="A78" s="98" t="s">
        <v>235</v>
      </c>
      <c r="B78" s="99"/>
      <c r="C78" s="99"/>
      <c r="D78" s="184" t="s">
        <v>93</v>
      </c>
      <c r="E78" s="96">
        <v>3</v>
      </c>
      <c r="F78" s="97">
        <v>1500</v>
      </c>
      <c r="G78" s="80">
        <f t="shared" si="1"/>
        <v>4500</v>
      </c>
    </row>
    <row r="79" spans="1:7" x14ac:dyDescent="0.25">
      <c r="A79" s="98" t="s">
        <v>269</v>
      </c>
      <c r="B79" s="99"/>
      <c r="C79" s="99"/>
      <c r="D79" s="184" t="s">
        <v>93</v>
      </c>
      <c r="E79" s="96">
        <v>6</v>
      </c>
      <c r="F79" s="97">
        <v>750</v>
      </c>
      <c r="G79" s="80">
        <f t="shared" si="1"/>
        <v>4500</v>
      </c>
    </row>
    <row r="80" spans="1:7" ht="27.75" customHeight="1" x14ac:dyDescent="0.25">
      <c r="A80" s="98" t="s">
        <v>263</v>
      </c>
      <c r="B80" s="99"/>
      <c r="C80" s="99"/>
      <c r="D80" s="184" t="s">
        <v>93</v>
      </c>
      <c r="E80" s="96">
        <v>1</v>
      </c>
      <c r="F80" s="97">
        <v>2500</v>
      </c>
      <c r="G80" s="80">
        <f t="shared" si="1"/>
        <v>2500</v>
      </c>
    </row>
    <row r="81" spans="1:9" ht="30" customHeight="1" x14ac:dyDescent="0.25">
      <c r="A81" s="711" t="s">
        <v>270</v>
      </c>
      <c r="B81" s="712"/>
      <c r="C81" s="712"/>
      <c r="D81" s="717"/>
      <c r="E81" s="719"/>
      <c r="F81" s="721"/>
      <c r="G81" s="80">
        <f t="shared" si="1"/>
        <v>0</v>
      </c>
    </row>
    <row r="82" spans="1:9" x14ac:dyDescent="0.25">
      <c r="A82" s="98" t="s">
        <v>235</v>
      </c>
      <c r="B82" s="99"/>
      <c r="C82" s="99"/>
      <c r="D82" s="184" t="s">
        <v>93</v>
      </c>
      <c r="E82" s="96">
        <v>3</v>
      </c>
      <c r="F82" s="97">
        <v>1500</v>
      </c>
      <c r="G82" s="80">
        <f t="shared" si="1"/>
        <v>4500</v>
      </c>
    </row>
    <row r="83" spans="1:9" x14ac:dyDescent="0.25">
      <c r="A83" s="707" t="s">
        <v>237</v>
      </c>
      <c r="B83" s="708"/>
      <c r="C83" s="708"/>
      <c r="D83" s="714"/>
      <c r="E83" s="718"/>
      <c r="F83" s="720"/>
      <c r="G83" s="80">
        <f t="shared" si="1"/>
        <v>0</v>
      </c>
    </row>
    <row r="84" spans="1:9" x14ac:dyDescent="0.25">
      <c r="A84" s="98" t="s">
        <v>238</v>
      </c>
      <c r="B84" s="99"/>
      <c r="C84" s="99"/>
      <c r="D84" s="184" t="s">
        <v>93</v>
      </c>
      <c r="E84" s="96">
        <v>150</v>
      </c>
      <c r="F84" s="97">
        <v>97</v>
      </c>
      <c r="G84" s="80">
        <f>E84*F84</f>
        <v>14550</v>
      </c>
    </row>
    <row r="85" spans="1:9" ht="18.75" x14ac:dyDescent="0.25">
      <c r="G85" s="298">
        <f>SUM(G56:G84)</f>
        <v>144830</v>
      </c>
    </row>
    <row r="86" spans="1:9" ht="18.75" x14ac:dyDescent="0.25">
      <c r="A86" s="698"/>
      <c r="B86" s="698"/>
      <c r="C86" s="698"/>
      <c r="D86" s="698"/>
      <c r="E86" s="698"/>
      <c r="F86" s="698"/>
      <c r="G86" s="699"/>
    </row>
    <row r="87" spans="1:9" ht="18.75" x14ac:dyDescent="0.25">
      <c r="A87" s="698"/>
      <c r="B87" s="698"/>
      <c r="C87" s="698"/>
      <c r="D87" s="698"/>
      <c r="E87" s="698"/>
      <c r="F87" s="698"/>
      <c r="G87" s="699"/>
    </row>
    <row r="88" spans="1:9" ht="18.75" x14ac:dyDescent="0.25">
      <c r="A88" s="698"/>
      <c r="B88" s="698"/>
      <c r="C88" s="698"/>
      <c r="D88" s="698"/>
      <c r="E88" s="698"/>
      <c r="F88" s="698"/>
      <c r="G88" s="699"/>
    </row>
    <row r="89" spans="1:9" ht="15.6" customHeight="1" x14ac:dyDescent="0.25">
      <c r="A89" s="647" t="s">
        <v>49</v>
      </c>
      <c r="B89" s="647"/>
      <c r="C89" s="647"/>
      <c r="D89" s="647"/>
      <c r="E89" s="647"/>
      <c r="F89" s="647"/>
    </row>
    <row r="90" spans="1:9" x14ac:dyDescent="0.25">
      <c r="A90" s="11"/>
      <c r="B90" s="11"/>
      <c r="C90" s="11"/>
      <c r="D90" s="11"/>
      <c r="E90" s="11"/>
      <c r="F90" s="103">
        <f>D42</f>
        <v>0.40200000000000002</v>
      </c>
    </row>
    <row r="91" spans="1:9" ht="31.5" x14ac:dyDescent="0.25">
      <c r="A91" s="541" t="s">
        <v>0</v>
      </c>
      <c r="B91" s="542"/>
      <c r="C91" s="264"/>
      <c r="D91" s="648" t="s">
        <v>1</v>
      </c>
      <c r="E91" s="264" t="s">
        <v>2</v>
      </c>
      <c r="F91" s="264" t="s">
        <v>43</v>
      </c>
      <c r="G91" s="622" t="s">
        <v>6</v>
      </c>
    </row>
    <row r="92" spans="1:9" x14ac:dyDescent="0.25">
      <c r="A92" s="645"/>
      <c r="B92" s="646"/>
      <c r="C92" s="264"/>
      <c r="D92" s="649"/>
      <c r="E92" s="264"/>
      <c r="F92" s="264"/>
      <c r="G92" s="623"/>
    </row>
    <row r="93" spans="1:9" x14ac:dyDescent="0.25">
      <c r="A93" s="653">
        <v>1</v>
      </c>
      <c r="B93" s="655"/>
      <c r="C93" s="264"/>
      <c r="D93" s="264">
        <v>2</v>
      </c>
      <c r="E93" s="264">
        <v>3</v>
      </c>
      <c r="F93" s="264" t="s">
        <v>41</v>
      </c>
      <c r="G93" s="259" t="s">
        <v>42</v>
      </c>
    </row>
    <row r="94" spans="1:9" x14ac:dyDescent="0.25">
      <c r="A94" s="529" t="str">
        <f>'работа 3 добр'!A92:B92</f>
        <v>Заведующий МЦ</v>
      </c>
      <c r="B94" s="529"/>
      <c r="C94" s="113"/>
      <c r="D94" s="64">
        <f>'работа 3 добр'!D92</f>
        <v>70153.25</v>
      </c>
      <c r="E94" s="72">
        <f>1*F90</f>
        <v>0.40200000000000002</v>
      </c>
      <c r="F94" s="79">
        <f>D94*E94</f>
        <v>28201.606500000002</v>
      </c>
      <c r="G94" s="272">
        <f>F94*12*1.302+1286.93</f>
        <v>441908.82995600009</v>
      </c>
    </row>
    <row r="95" spans="1:9" x14ac:dyDescent="0.25">
      <c r="A95" s="476" t="s">
        <v>164</v>
      </c>
      <c r="B95" s="476"/>
      <c r="C95" s="112"/>
      <c r="D95" s="64">
        <f>'работа 3 добр'!D93</f>
        <v>25675</v>
      </c>
      <c r="E95" s="264">
        <f>1*F90</f>
        <v>0.40200000000000002</v>
      </c>
      <c r="F95" s="79">
        <f t="shared" ref="F95:F97" si="2">D95*E95</f>
        <v>10321.35</v>
      </c>
      <c r="G95" s="272">
        <f>F95*12*1.302</f>
        <v>161260.77240000002</v>
      </c>
    </row>
    <row r="96" spans="1:9" x14ac:dyDescent="0.25">
      <c r="A96" s="527" t="s">
        <v>101</v>
      </c>
      <c r="B96" s="528"/>
      <c r="C96" s="112"/>
      <c r="D96" s="64">
        <f>'работа 3 добр'!D94</f>
        <v>25675</v>
      </c>
      <c r="E96" s="264">
        <f>1*F90/2</f>
        <v>0.20100000000000001</v>
      </c>
      <c r="F96" s="79">
        <f t="shared" ref="F96" si="3">D96*E96</f>
        <v>5160.6750000000002</v>
      </c>
      <c r="G96" s="272">
        <f>F96*12*1.302</f>
        <v>80630.386200000008</v>
      </c>
      <c r="I96" s="183"/>
    </row>
    <row r="97" spans="1:8" x14ac:dyDescent="0.25">
      <c r="A97" s="476" t="s">
        <v>165</v>
      </c>
      <c r="B97" s="476"/>
      <c r="C97" s="112"/>
      <c r="D97" s="64">
        <f>'работа 3 добр'!D95</f>
        <v>25675</v>
      </c>
      <c r="E97" s="264">
        <f>1*F90</f>
        <v>0.40200000000000002</v>
      </c>
      <c r="F97" s="79">
        <f t="shared" si="2"/>
        <v>10321.35</v>
      </c>
      <c r="G97" s="272">
        <f>F97*12*1.302</f>
        <v>161260.77240000002</v>
      </c>
    </row>
    <row r="98" spans="1:8" hidden="1" x14ac:dyDescent="0.25">
      <c r="A98" s="545"/>
      <c r="B98" s="546"/>
      <c r="C98" s="112"/>
      <c r="D98" s="82"/>
      <c r="E98" s="264"/>
      <c r="F98" s="83"/>
      <c r="G98" s="84"/>
    </row>
    <row r="99" spans="1:8" ht="18.75" x14ac:dyDescent="0.3">
      <c r="A99" s="653" t="s">
        <v>28</v>
      </c>
      <c r="B99" s="654"/>
      <c r="C99" s="654"/>
      <c r="D99" s="654"/>
      <c r="E99" s="654"/>
      <c r="F99" s="655"/>
      <c r="G99" s="297">
        <f>SUM(G94:G98)</f>
        <v>845060.76095600019</v>
      </c>
    </row>
    <row r="100" spans="1:8" s="45" customFormat="1" ht="14.45" customHeight="1" x14ac:dyDescent="0.25">
      <c r="A100" s="499" t="s">
        <v>210</v>
      </c>
      <c r="B100" s="499"/>
      <c r="C100" s="499"/>
      <c r="D100" s="500"/>
      <c r="E100" s="500"/>
      <c r="F100" s="500"/>
      <c r="G100" s="500"/>
      <c r="H100" s="500"/>
    </row>
    <row r="101" spans="1:8" s="45" customFormat="1" ht="14.45" customHeight="1" x14ac:dyDescent="0.25">
      <c r="A101" s="501" t="s">
        <v>67</v>
      </c>
      <c r="B101" s="504" t="s">
        <v>178</v>
      </c>
      <c r="C101" s="505"/>
      <c r="D101" s="510"/>
      <c r="E101" s="511"/>
      <c r="F101" s="512"/>
      <c r="G101" s="235"/>
      <c r="H101" s="235"/>
    </row>
    <row r="102" spans="1:8" s="45" customFormat="1" ht="14.45" customHeight="1" x14ac:dyDescent="0.25">
      <c r="A102" s="502"/>
      <c r="B102" s="506"/>
      <c r="C102" s="507"/>
      <c r="D102" s="513" t="s">
        <v>182</v>
      </c>
      <c r="E102" s="502" t="s">
        <v>188</v>
      </c>
      <c r="F102" s="502" t="s">
        <v>6</v>
      </c>
    </row>
    <row r="103" spans="1:8" s="45" customFormat="1" ht="15" x14ac:dyDescent="0.25">
      <c r="A103" s="503"/>
      <c r="B103" s="508"/>
      <c r="C103" s="509"/>
      <c r="D103" s="514"/>
      <c r="E103" s="503"/>
      <c r="F103" s="503"/>
    </row>
    <row r="104" spans="1:8" s="45" customFormat="1" ht="15" x14ac:dyDescent="0.25">
      <c r="A104" s="250">
        <v>1</v>
      </c>
      <c r="B104" s="515">
        <v>2</v>
      </c>
      <c r="C104" s="516"/>
      <c r="D104" s="250">
        <v>5</v>
      </c>
      <c r="E104" s="250">
        <v>6</v>
      </c>
      <c r="F104" s="250">
        <v>7</v>
      </c>
    </row>
    <row r="105" spans="1:8" s="45" customFormat="1" ht="15" x14ac:dyDescent="0.25">
      <c r="A105" s="237" t="s">
        <v>185</v>
      </c>
      <c r="B105" s="250">
        <f>F124</f>
        <v>0.40200000000000002</v>
      </c>
      <c r="C105" s="238"/>
      <c r="D105" s="165">
        <f>'работа 3 добр'!D116</f>
        <v>7439.37</v>
      </c>
      <c r="E105" s="202">
        <f t="shared" ref="E105:E107" si="4">D105*30.2%</f>
        <v>2246.6897399999998</v>
      </c>
      <c r="F105" s="202">
        <f>(D105+E105)*0.402</f>
        <v>3893.7960154800003</v>
      </c>
    </row>
    <row r="106" spans="1:8" s="45" customFormat="1" ht="15" x14ac:dyDescent="0.25">
      <c r="A106" s="237" t="s">
        <v>186</v>
      </c>
      <c r="B106" s="250">
        <f>E96</f>
        <v>0.20100000000000001</v>
      </c>
      <c r="C106" s="238"/>
      <c r="D106" s="165">
        <f>'работа 3 добр'!D117</f>
        <v>9900.81</v>
      </c>
      <c r="E106" s="202">
        <f t="shared" si="4"/>
        <v>2990.0446199999997</v>
      </c>
      <c r="F106" s="202">
        <f t="shared" ref="F106:F107" si="5">(D106+E106)*0.402</f>
        <v>5182.1235572399992</v>
      </c>
    </row>
    <row r="107" spans="1:8" s="45" customFormat="1" ht="15" x14ac:dyDescent="0.25">
      <c r="A107" s="237" t="s">
        <v>165</v>
      </c>
      <c r="B107" s="250">
        <f>E97</f>
        <v>0.40200000000000002</v>
      </c>
      <c r="C107" s="238"/>
      <c r="D107" s="165">
        <f>'работа 3 добр'!D118</f>
        <v>36423.26</v>
      </c>
      <c r="E107" s="202">
        <f t="shared" si="4"/>
        <v>10999.82452</v>
      </c>
      <c r="F107" s="202">
        <f t="shared" si="5"/>
        <v>19064.079977040004</v>
      </c>
    </row>
    <row r="108" spans="1:8" s="45" customFormat="1" ht="15" x14ac:dyDescent="0.25">
      <c r="A108" s="168"/>
      <c r="B108" s="251"/>
      <c r="C108" s="169"/>
      <c r="D108" s="141">
        <f>SUM(D105:D107)</f>
        <v>53763.44</v>
      </c>
      <c r="E108" s="141">
        <f>SUM(E105:E107)</f>
        <v>16236.55888</v>
      </c>
      <c r="F108" s="141">
        <f>SUM(F105:F107)</f>
        <v>28139.999549760003</v>
      </c>
    </row>
    <row r="109" spans="1:8" s="45" customFormat="1" ht="14.45" hidden="1" customHeight="1" x14ac:dyDescent="0.25">
      <c r="A109" s="499" t="s">
        <v>190</v>
      </c>
      <c r="B109" s="499"/>
      <c r="C109" s="499"/>
      <c r="D109" s="499"/>
      <c r="E109" s="499"/>
      <c r="F109" s="499"/>
      <c r="G109" s="499"/>
      <c r="H109" s="499"/>
    </row>
    <row r="110" spans="1:8" s="45" customFormat="1" ht="14.45" hidden="1" customHeight="1" x14ac:dyDescent="0.25">
      <c r="A110" s="501" t="s">
        <v>67</v>
      </c>
      <c r="B110" s="504" t="s">
        <v>178</v>
      </c>
      <c r="C110" s="650"/>
      <c r="D110" s="515" t="s">
        <v>179</v>
      </c>
      <c r="E110" s="560"/>
      <c r="F110" s="560"/>
      <c r="G110" s="560"/>
      <c r="H110" s="516"/>
    </row>
    <row r="111" spans="1:8" s="45" customFormat="1" ht="14.45" hidden="1" customHeight="1" x14ac:dyDescent="0.25">
      <c r="A111" s="502"/>
      <c r="B111" s="506"/>
      <c r="C111" s="507"/>
      <c r="D111" s="530" t="s">
        <v>180</v>
      </c>
      <c r="E111" s="501" t="s">
        <v>181</v>
      </c>
      <c r="F111" s="624" t="s">
        <v>182</v>
      </c>
      <c r="G111" s="501" t="s">
        <v>188</v>
      </c>
      <c r="H111" s="501" t="s">
        <v>6</v>
      </c>
    </row>
    <row r="112" spans="1:8" s="45" customFormat="1" ht="15" hidden="1" x14ac:dyDescent="0.25">
      <c r="A112" s="503"/>
      <c r="B112" s="508"/>
      <c r="C112" s="509"/>
      <c r="D112" s="666"/>
      <c r="E112" s="503"/>
      <c r="F112" s="514"/>
      <c r="G112" s="503"/>
      <c r="H112" s="503"/>
    </row>
    <row r="113" spans="1:8" s="45" customFormat="1" ht="15" hidden="1" x14ac:dyDescent="0.25">
      <c r="A113" s="250">
        <v>1</v>
      </c>
      <c r="B113" s="515">
        <v>2</v>
      </c>
      <c r="C113" s="516"/>
      <c r="D113" s="250">
        <v>3</v>
      </c>
      <c r="E113" s="250">
        <v>4</v>
      </c>
      <c r="F113" s="250">
        <v>5</v>
      </c>
      <c r="G113" s="250">
        <v>6</v>
      </c>
      <c r="H113" s="250">
        <v>7</v>
      </c>
    </row>
    <row r="114" spans="1:8" s="45" customFormat="1" ht="15" hidden="1" x14ac:dyDescent="0.25">
      <c r="A114" s="237" t="s">
        <v>183</v>
      </c>
      <c r="B114" s="250">
        <v>0.39300000000000002</v>
      </c>
      <c r="C114" s="238">
        <v>1</v>
      </c>
      <c r="D114" s="165">
        <v>30497.8</v>
      </c>
      <c r="E114" s="124">
        <v>41441.4</v>
      </c>
      <c r="F114" s="165">
        <f>30497.8*0.393</f>
        <v>11985.635400000001</v>
      </c>
      <c r="G114" s="202">
        <f>F114*30.2%</f>
        <v>3619.6618908</v>
      </c>
      <c r="H114" s="202">
        <f>F114+G114</f>
        <v>15605.297290800001</v>
      </c>
    </row>
    <row r="115" spans="1:8" s="45" customFormat="1" ht="15" hidden="1" x14ac:dyDescent="0.25">
      <c r="A115" s="237" t="s">
        <v>185</v>
      </c>
      <c r="B115" s="250">
        <f>1*0.393</f>
        <v>0.39300000000000002</v>
      </c>
      <c r="C115" s="238"/>
      <c r="D115" s="165">
        <v>8353.5499999999993</v>
      </c>
      <c r="E115" s="124">
        <v>11244.72</v>
      </c>
      <c r="F115" s="165">
        <f>8353.55*0.393</f>
        <v>3282.94515</v>
      </c>
      <c r="G115" s="202">
        <f>F115*30.2%</f>
        <v>991.4494353</v>
      </c>
      <c r="H115" s="202">
        <f>F115+G115</f>
        <v>4274.3945853000005</v>
      </c>
    </row>
    <row r="116" spans="1:8" s="45" customFormat="1" ht="15" hidden="1" x14ac:dyDescent="0.25">
      <c r="A116" s="237" t="s">
        <v>186</v>
      </c>
      <c r="B116" s="250">
        <f>0.5*0.393</f>
        <v>0.19650000000000001</v>
      </c>
      <c r="C116" s="238"/>
      <c r="D116" s="165">
        <v>3761.62</v>
      </c>
      <c r="E116" s="124">
        <v>4983</v>
      </c>
      <c r="F116" s="165">
        <f>3761.62*0.393</f>
        <v>1478.31666</v>
      </c>
      <c r="G116" s="202">
        <f>F116*30.2%</f>
        <v>446.45163131999999</v>
      </c>
      <c r="H116" s="202">
        <f>F116+G116</f>
        <v>1924.7682913199999</v>
      </c>
    </row>
    <row r="117" spans="1:8" s="45" customFormat="1" ht="15" hidden="1" x14ac:dyDescent="0.25">
      <c r="A117" s="237" t="s">
        <v>165</v>
      </c>
      <c r="B117" s="250">
        <f>1*0.393</f>
        <v>0.39300000000000002</v>
      </c>
      <c r="C117" s="238"/>
      <c r="D117" s="165">
        <v>6266.1</v>
      </c>
      <c r="E117" s="124">
        <v>8398.2000000000007</v>
      </c>
      <c r="F117" s="165">
        <f>6266.1*0.393</f>
        <v>2462.5773000000004</v>
      </c>
      <c r="G117" s="202">
        <f>F117*30.2%</f>
        <v>743.69834460000004</v>
      </c>
      <c r="H117" s="202">
        <f>F117+G117</f>
        <v>3206.2756446000003</v>
      </c>
    </row>
    <row r="118" spans="1:8" s="45" customFormat="1" ht="15" hidden="1" x14ac:dyDescent="0.25">
      <c r="A118" s="237" t="s">
        <v>187</v>
      </c>
      <c r="B118" s="250">
        <f>3*0.393</f>
        <v>1.179</v>
      </c>
      <c r="C118" s="238"/>
      <c r="D118" s="165">
        <v>20749.32</v>
      </c>
      <c r="E118" s="124">
        <v>28148.04</v>
      </c>
      <c r="F118" s="165">
        <f>20749.32*0.393</f>
        <v>8154.4827599999999</v>
      </c>
      <c r="G118" s="202">
        <f>F118*30.2%</f>
        <v>2462.6537935199999</v>
      </c>
      <c r="H118" s="202">
        <f>F118+G118</f>
        <v>10617.13655352</v>
      </c>
    </row>
    <row r="119" spans="1:8" s="45" customFormat="1" ht="18.75" hidden="1" x14ac:dyDescent="0.25">
      <c r="A119" s="168"/>
      <c r="B119" s="251"/>
      <c r="C119" s="169"/>
      <c r="D119" s="141">
        <f>SUM(D114:D118)</f>
        <v>69628.39</v>
      </c>
      <c r="E119" s="141">
        <f>SUM(E114:E118)</f>
        <v>94215.360000000015</v>
      </c>
      <c r="F119" s="141">
        <f>SUM(F114:F118)</f>
        <v>27363.957269999999</v>
      </c>
      <c r="G119" s="141">
        <f>SUM(G114:G118)</f>
        <v>8263.91509554</v>
      </c>
      <c r="H119" s="292"/>
    </row>
    <row r="120" spans="1:8" ht="15.6" customHeight="1" x14ac:dyDescent="0.25">
      <c r="A120" s="651" t="s">
        <v>12</v>
      </c>
      <c r="B120" s="651"/>
      <c r="C120" s="651"/>
      <c r="D120" s="651"/>
      <c r="E120" s="651"/>
      <c r="F120" s="651"/>
      <c r="H120" s="183"/>
    </row>
    <row r="121" spans="1:8" x14ac:dyDescent="0.25">
      <c r="A121" s="4" t="s">
        <v>50</v>
      </c>
      <c r="B121" s="177"/>
      <c r="C121" s="177"/>
      <c r="D121" s="177"/>
      <c r="E121" s="177"/>
      <c r="F121" s="177"/>
    </row>
    <row r="122" spans="1:8" x14ac:dyDescent="0.25">
      <c r="A122" s="4" t="s">
        <v>94</v>
      </c>
      <c r="B122" s="177"/>
      <c r="C122" s="177"/>
      <c r="D122" s="177"/>
      <c r="E122" s="177"/>
      <c r="F122" s="177"/>
    </row>
    <row r="123" spans="1:8" x14ac:dyDescent="0.25">
      <c r="A123" s="540" t="s">
        <v>52</v>
      </c>
      <c r="B123" s="540"/>
      <c r="C123" s="540"/>
      <c r="D123" s="540"/>
      <c r="E123" s="540"/>
      <c r="F123" s="177"/>
    </row>
    <row r="124" spans="1:8" x14ac:dyDescent="0.25">
      <c r="A124" s="177"/>
      <c r="B124" s="177"/>
      <c r="C124" s="177"/>
      <c r="D124" s="177"/>
      <c r="E124" s="177"/>
      <c r="F124" s="178">
        <f>F90</f>
        <v>0.40200000000000002</v>
      </c>
    </row>
    <row r="125" spans="1:8" ht="15.75" customHeight="1" x14ac:dyDescent="0.25">
      <c r="A125" s="652" t="s">
        <v>13</v>
      </c>
      <c r="B125" s="652" t="s">
        <v>11</v>
      </c>
      <c r="C125" s="264"/>
      <c r="D125" s="652" t="s">
        <v>14</v>
      </c>
      <c r="E125" s="652" t="s">
        <v>15</v>
      </c>
      <c r="F125" s="648" t="s">
        <v>6</v>
      </c>
    </row>
    <row r="126" spans="1:8" x14ac:dyDescent="0.25">
      <c r="A126" s="652"/>
      <c r="B126" s="652"/>
      <c r="C126" s="264"/>
      <c r="D126" s="652"/>
      <c r="E126" s="652"/>
      <c r="F126" s="649"/>
    </row>
    <row r="127" spans="1:8" x14ac:dyDescent="0.25">
      <c r="A127" s="264">
        <v>1</v>
      </c>
      <c r="B127" s="264">
        <v>2</v>
      </c>
      <c r="C127" s="264"/>
      <c r="D127" s="264">
        <v>3</v>
      </c>
      <c r="E127" s="264">
        <v>4</v>
      </c>
      <c r="F127" s="264" t="s">
        <v>197</v>
      </c>
    </row>
    <row r="128" spans="1:8" x14ac:dyDescent="0.25">
      <c r="A128" s="85" t="str">
        <f>'работа 3 добр'!A136</f>
        <v>Теплоэнергия</v>
      </c>
      <c r="B128" s="264" t="s">
        <v>18</v>
      </c>
      <c r="C128" s="264"/>
      <c r="D128" s="79">
        <f>55*F124</f>
        <v>22.110000000000003</v>
      </c>
      <c r="E128" s="58">
        <f>'работа 3 добр'!E136</f>
        <v>2974.26</v>
      </c>
      <c r="F128" s="79">
        <f>D128*E128</f>
        <v>65760.88860000002</v>
      </c>
    </row>
    <row r="129" spans="1:7" ht="18.75" x14ac:dyDescent="0.25">
      <c r="A129" s="85" t="str">
        <f>'работа 3 добр'!A137</f>
        <v>Водоснабжение 1 полугодие</v>
      </c>
      <c r="B129" s="264" t="s">
        <v>256</v>
      </c>
      <c r="C129" s="264"/>
      <c r="D129" s="264">
        <f>106.3*F124</f>
        <v>42.732599999999998</v>
      </c>
      <c r="E129" s="58">
        <f>'работа 3 добр'!E137</f>
        <v>55.18</v>
      </c>
      <c r="F129" s="79">
        <f t="shared" ref="F129:F132" si="6">D129*E129</f>
        <v>2357.984868</v>
      </c>
    </row>
    <row r="130" spans="1:7" ht="18.75" x14ac:dyDescent="0.25">
      <c r="A130" s="85" t="str">
        <f>'работа 3 добр'!A138</f>
        <v>Водоснабжение 2 полугодие</v>
      </c>
      <c r="B130" s="264" t="s">
        <v>60</v>
      </c>
      <c r="C130" s="264"/>
      <c r="D130" s="264">
        <f>106.3*F124</f>
        <v>42.732599999999998</v>
      </c>
      <c r="E130" s="58">
        <f>'работа 3 добр'!E138</f>
        <v>56.66</v>
      </c>
      <c r="F130" s="79">
        <f t="shared" si="6"/>
        <v>2421.2291159999995</v>
      </c>
    </row>
    <row r="131" spans="1:7" x14ac:dyDescent="0.25">
      <c r="A131" s="85" t="str">
        <f>'работа 3 добр'!A139</f>
        <v>Электроэнергия</v>
      </c>
      <c r="B131" s="264" t="s">
        <v>92</v>
      </c>
      <c r="C131" s="264"/>
      <c r="D131" s="105">
        <f>10.36*F124</f>
        <v>4.16472</v>
      </c>
      <c r="E131" s="58">
        <f>'работа 3 добр'!E139</f>
        <v>7415.06</v>
      </c>
      <c r="F131" s="79">
        <f t="shared" si="6"/>
        <v>30881.648683200001</v>
      </c>
    </row>
    <row r="132" spans="1:7" x14ac:dyDescent="0.25">
      <c r="A132" s="250" t="str">
        <f>'работа 3 добр'!A140</f>
        <v>Водоотведение (септик)  откачка асс. машиной 6 раз в год</v>
      </c>
      <c r="B132" s="247" t="s">
        <v>22</v>
      </c>
      <c r="C132" s="250"/>
      <c r="D132" s="185">
        <f>12*F124</f>
        <v>4.8239999999999998</v>
      </c>
      <c r="E132" s="58">
        <f>'работа 3 добр'!E140</f>
        <v>6334.56</v>
      </c>
      <c r="F132" s="79">
        <f t="shared" si="6"/>
        <v>30557.917440000001</v>
      </c>
    </row>
    <row r="133" spans="1:7" x14ac:dyDescent="0.25">
      <c r="A133" s="354" t="str">
        <f>'работа 3 добр'!A141</f>
        <v>ТКО</v>
      </c>
      <c r="B133" s="185" t="str">
        <f>'работа 3 добр'!B141</f>
        <v>м3</v>
      </c>
      <c r="C133" s="354"/>
      <c r="D133" s="185">
        <f>3.636*F124</f>
        <v>1.4616720000000001</v>
      </c>
      <c r="E133" s="58">
        <v>2170.58</v>
      </c>
      <c r="F133" s="79">
        <f>D133*E133</f>
        <v>3172.6760097599999</v>
      </c>
    </row>
    <row r="134" spans="1:7" ht="18.75" x14ac:dyDescent="0.25">
      <c r="A134" s="663"/>
      <c r="B134" s="663"/>
      <c r="C134" s="663"/>
      <c r="D134" s="663"/>
      <c r="E134" s="663"/>
      <c r="F134" s="299">
        <f>SUM(F128:F133)</f>
        <v>135152.34471696001</v>
      </c>
    </row>
    <row r="135" spans="1:7" x14ac:dyDescent="0.25">
      <c r="A135" s="103"/>
      <c r="B135" s="103"/>
      <c r="C135" s="103"/>
      <c r="D135" s="103"/>
      <c r="E135" s="103"/>
      <c r="F135" s="104"/>
    </row>
    <row r="136" spans="1:7" x14ac:dyDescent="0.25">
      <c r="A136" s="492" t="s">
        <v>128</v>
      </c>
      <c r="B136" s="492"/>
      <c r="C136" s="492"/>
      <c r="D136" s="492"/>
      <c r="E136" s="492"/>
      <c r="F136" s="492"/>
      <c r="G136" s="204"/>
    </row>
    <row r="137" spans="1:7" ht="25.5" x14ac:dyDescent="0.25">
      <c r="A137" s="237" t="s">
        <v>129</v>
      </c>
      <c r="B137" s="250" t="s">
        <v>130</v>
      </c>
      <c r="C137" s="269"/>
      <c r="D137" s="250" t="s">
        <v>134</v>
      </c>
      <c r="E137" s="250" t="s">
        <v>131</v>
      </c>
      <c r="F137" s="250" t="s">
        <v>132</v>
      </c>
      <c r="G137" s="249" t="s">
        <v>6</v>
      </c>
    </row>
    <row r="138" spans="1:7" x14ac:dyDescent="0.25">
      <c r="A138" s="237">
        <v>1</v>
      </c>
      <c r="B138" s="250">
        <v>2</v>
      </c>
      <c r="C138" s="269"/>
      <c r="D138" s="250">
        <v>3</v>
      </c>
      <c r="E138" s="250">
        <v>4</v>
      </c>
      <c r="F138" s="250">
        <v>5</v>
      </c>
      <c r="G138" s="179" t="s">
        <v>248</v>
      </c>
    </row>
    <row r="139" spans="1:7" x14ac:dyDescent="0.25">
      <c r="A139" s="250" t="s">
        <v>133</v>
      </c>
      <c r="B139" s="250">
        <f>'работа 3 добр'!B124</f>
        <v>3</v>
      </c>
      <c r="C139" s="250">
        <f>'работа 3 добр'!C124</f>
        <v>0</v>
      </c>
      <c r="D139" s="250">
        <f>'работа 3 добр'!D124</f>
        <v>12</v>
      </c>
      <c r="E139" s="250">
        <f>'работа 3 добр'!E124</f>
        <v>75</v>
      </c>
      <c r="F139" s="124">
        <f>'работа 3 добр'!F124</f>
        <v>2700</v>
      </c>
      <c r="G139" s="180">
        <f>F139*D149</f>
        <v>1085.4000000000001</v>
      </c>
    </row>
    <row r="140" spans="1:7" x14ac:dyDescent="0.25">
      <c r="A140" s="284" t="s">
        <v>309</v>
      </c>
      <c r="B140" s="285">
        <f>'работа 3 добр'!B125</f>
        <v>1</v>
      </c>
      <c r="C140" s="285"/>
      <c r="D140" s="125">
        <f>'работа 3 добр'!D125</f>
        <v>5</v>
      </c>
      <c r="E140" s="125">
        <f>'работа 3 добр'!E125</f>
        <v>21992.651999999998</v>
      </c>
      <c r="F140" s="124">
        <f>'работа 3 добр'!F125</f>
        <v>109963.26</v>
      </c>
      <c r="G140" s="180">
        <f>PRODUCT(F140,0.402)</f>
        <v>44205.230519999997</v>
      </c>
    </row>
    <row r="141" spans="1:7" x14ac:dyDescent="0.25">
      <c r="A141" s="284" t="s">
        <v>310</v>
      </c>
      <c r="B141" s="285">
        <f>'работа 3 добр'!B126</f>
        <v>1</v>
      </c>
      <c r="C141" s="285"/>
      <c r="D141" s="125">
        <f>'работа 3 добр'!D126</f>
        <v>5</v>
      </c>
      <c r="E141" s="125">
        <f>'работа 3 добр'!E126</f>
        <v>20452.009999999998</v>
      </c>
      <c r="F141" s="124">
        <f>'работа 3 добр'!F126</f>
        <v>102260.07</v>
      </c>
      <c r="G141" s="180">
        <f t="shared" ref="G141:G142" si="7">PRODUCT(F141,0.402)</f>
        <v>41108.548140000006</v>
      </c>
    </row>
    <row r="142" spans="1:7" x14ac:dyDescent="0.25">
      <c r="A142" s="284" t="s">
        <v>311</v>
      </c>
      <c r="B142" s="285">
        <f>'работа 3 добр'!B127</f>
        <v>1</v>
      </c>
      <c r="C142" s="285"/>
      <c r="D142" s="125">
        <f>'работа 3 добр'!D127</f>
        <v>5</v>
      </c>
      <c r="E142" s="125">
        <f>'работа 3 добр'!E127</f>
        <v>21031.16</v>
      </c>
      <c r="F142" s="124">
        <f>'работа 3 добр'!F127</f>
        <v>105155.82</v>
      </c>
      <c r="G142" s="180">
        <f t="shared" si="7"/>
        <v>42272.639640000009</v>
      </c>
    </row>
    <row r="143" spans="1:7" ht="18.75" x14ac:dyDescent="0.25">
      <c r="A143" s="140"/>
      <c r="B143" s="140"/>
      <c r="C143" s="140"/>
      <c r="D143" s="140"/>
      <c r="E143" s="251" t="s">
        <v>102</v>
      </c>
      <c r="F143" s="141"/>
      <c r="G143" s="337">
        <f>G139+G140+G141+G142</f>
        <v>128671.81830000001</v>
      </c>
    </row>
    <row r="144" spans="1:7" x14ac:dyDescent="0.25">
      <c r="A144" s="103"/>
      <c r="B144" s="103"/>
      <c r="C144" s="103"/>
      <c r="D144" s="103"/>
      <c r="E144" s="103"/>
      <c r="F144" s="104"/>
    </row>
    <row r="145" spans="1:7" x14ac:dyDescent="0.25">
      <c r="A145" s="103"/>
      <c r="B145" s="103"/>
      <c r="C145" s="103"/>
      <c r="D145" s="103"/>
      <c r="E145" s="103"/>
      <c r="F145" s="104"/>
    </row>
    <row r="146" spans="1:7" x14ac:dyDescent="0.25">
      <c r="A146" s="103"/>
      <c r="B146" s="103"/>
      <c r="C146" s="103"/>
      <c r="D146" s="103"/>
      <c r="E146" s="103"/>
      <c r="F146" s="104"/>
    </row>
    <row r="147" spans="1:7" x14ac:dyDescent="0.25">
      <c r="A147" s="629" t="s">
        <v>47</v>
      </c>
      <c r="B147" s="629"/>
      <c r="C147" s="629"/>
      <c r="D147" s="629"/>
      <c r="E147" s="629"/>
      <c r="F147" s="629"/>
    </row>
    <row r="148" spans="1:7" x14ac:dyDescent="0.25">
      <c r="A148" s="268" t="s">
        <v>90</v>
      </c>
      <c r="B148" s="6" t="s">
        <v>246</v>
      </c>
      <c r="C148" s="6"/>
      <c r="D148" s="6"/>
    </row>
    <row r="149" spans="1:7" x14ac:dyDescent="0.25">
      <c r="D149" s="174">
        <f>F124</f>
        <v>0.40200000000000002</v>
      </c>
    </row>
    <row r="150" spans="1:7" ht="13.15" customHeight="1" x14ac:dyDescent="0.25">
      <c r="A150" s="621" t="s">
        <v>27</v>
      </c>
      <c r="B150" s="621"/>
      <c r="C150" s="259"/>
      <c r="D150" s="621" t="s">
        <v>11</v>
      </c>
      <c r="E150" s="259" t="s">
        <v>53</v>
      </c>
      <c r="F150" s="259" t="s">
        <v>15</v>
      </c>
      <c r="G150" s="634" t="s">
        <v>6</v>
      </c>
    </row>
    <row r="151" spans="1:7" x14ac:dyDescent="0.25">
      <c r="A151" s="621"/>
      <c r="B151" s="621"/>
      <c r="C151" s="259"/>
      <c r="D151" s="621"/>
      <c r="E151" s="259"/>
      <c r="F151" s="259"/>
      <c r="G151" s="635"/>
    </row>
    <row r="152" spans="1:7" x14ac:dyDescent="0.25">
      <c r="A152" s="618">
        <v>1</v>
      </c>
      <c r="B152" s="620"/>
      <c r="C152" s="258"/>
      <c r="D152" s="259">
        <v>2</v>
      </c>
      <c r="E152" s="259">
        <v>3</v>
      </c>
      <c r="F152" s="259">
        <v>4</v>
      </c>
      <c r="G152" s="80" t="s">
        <v>75</v>
      </c>
    </row>
    <row r="153" spans="1:7" x14ac:dyDescent="0.25">
      <c r="A153" s="643" t="str">
        <f>A45</f>
        <v>Суточные</v>
      </c>
      <c r="B153" s="644"/>
      <c r="C153" s="262"/>
      <c r="D153" s="259" t="str">
        <f>D45</f>
        <v>сутки</v>
      </c>
      <c r="E153" s="309">
        <f>D149</f>
        <v>0.40200000000000002</v>
      </c>
      <c r="F153" s="272">
        <f>F45</f>
        <v>13500</v>
      </c>
      <c r="G153" s="86">
        <f>E153*F153</f>
        <v>5427</v>
      </c>
    </row>
    <row r="154" spans="1:7" x14ac:dyDescent="0.25">
      <c r="A154" s="643" t="str">
        <f>A46</f>
        <v>Проезд</v>
      </c>
      <c r="B154" s="644"/>
      <c r="C154" s="262"/>
      <c r="D154" s="259" t="str">
        <f>D46</f>
        <v xml:space="preserve">Ед. </v>
      </c>
      <c r="E154" s="309">
        <f>D149</f>
        <v>0.40200000000000002</v>
      </c>
      <c r="F154" s="272">
        <f>F46</f>
        <v>60000</v>
      </c>
      <c r="G154" s="86">
        <f>E154*F154</f>
        <v>24120</v>
      </c>
    </row>
    <row r="155" spans="1:7" x14ac:dyDescent="0.25">
      <c r="A155" s="643" t="str">
        <f>A47</f>
        <v>Проживание (гостиница)</v>
      </c>
      <c r="B155" s="644"/>
      <c r="C155" s="262"/>
      <c r="D155" s="259" t="str">
        <f>D47</f>
        <v>сутки</v>
      </c>
      <c r="E155" s="309">
        <f>D149</f>
        <v>0.40200000000000002</v>
      </c>
      <c r="F155" s="272">
        <f>F47</f>
        <v>7499.98</v>
      </c>
      <c r="G155" s="86">
        <f>E155*F155</f>
        <v>3014.9919599999998</v>
      </c>
    </row>
    <row r="156" spans="1:7" x14ac:dyDescent="0.25">
      <c r="A156" s="261" t="str">
        <f>A48</f>
        <v>Проживание (квартирные)</v>
      </c>
      <c r="B156" s="262"/>
      <c r="C156" s="262"/>
      <c r="D156" s="259" t="str">
        <f>D48</f>
        <v>сутки</v>
      </c>
      <c r="E156" s="309">
        <f>D149</f>
        <v>0.40200000000000002</v>
      </c>
      <c r="F156" s="272">
        <f>F48</f>
        <v>3375</v>
      </c>
      <c r="G156" s="86">
        <f>E156*F156</f>
        <v>1356.75</v>
      </c>
    </row>
    <row r="157" spans="1:7" ht="18.75" x14ac:dyDescent="0.25">
      <c r="A157" s="664" t="s">
        <v>138</v>
      </c>
      <c r="B157" s="665"/>
      <c r="C157" s="263"/>
      <c r="D157" s="81"/>
      <c r="E157" s="87"/>
      <c r="F157" s="87"/>
      <c r="G157" s="300">
        <f>SUM(G153:G156)</f>
        <v>33918.741959999999</v>
      </c>
    </row>
    <row r="158" spans="1:7" x14ac:dyDescent="0.25">
      <c r="A158" s="656" t="s">
        <v>36</v>
      </c>
      <c r="B158" s="656"/>
      <c r="C158" s="656"/>
      <c r="D158" s="656"/>
      <c r="E158" s="656"/>
      <c r="F158" s="656"/>
    </row>
    <row r="159" spans="1:7" x14ac:dyDescent="0.25">
      <c r="D159" s="181">
        <f>D149</f>
        <v>0.40200000000000002</v>
      </c>
    </row>
    <row r="160" spans="1:7" x14ac:dyDescent="0.25">
      <c r="A160" s="621" t="s">
        <v>24</v>
      </c>
      <c r="B160" s="621" t="s">
        <v>11</v>
      </c>
      <c r="C160" s="259"/>
      <c r="D160" s="621" t="s">
        <v>53</v>
      </c>
      <c r="E160" s="621" t="s">
        <v>15</v>
      </c>
      <c r="F160" s="622" t="s">
        <v>203</v>
      </c>
      <c r="G160" s="634" t="s">
        <v>6</v>
      </c>
    </row>
    <row r="161" spans="1:7" x14ac:dyDescent="0.25">
      <c r="A161" s="621"/>
      <c r="B161" s="621"/>
      <c r="C161" s="259"/>
      <c r="D161" s="621"/>
      <c r="E161" s="621"/>
      <c r="F161" s="623"/>
      <c r="G161" s="635"/>
    </row>
    <row r="162" spans="1:7" x14ac:dyDescent="0.25">
      <c r="A162" s="259">
        <v>1</v>
      </c>
      <c r="B162" s="259">
        <v>2</v>
      </c>
      <c r="C162" s="259"/>
      <c r="D162" s="259">
        <v>3</v>
      </c>
      <c r="E162" s="259">
        <v>4</v>
      </c>
      <c r="F162" s="259">
        <v>5</v>
      </c>
      <c r="G162" s="80" t="s">
        <v>76</v>
      </c>
    </row>
    <row r="163" spans="1:7" x14ac:dyDescent="0.25">
      <c r="A163" s="55" t="str">
        <f>'работа 3 добр'!A158</f>
        <v>Договор ВЗ (связь по краю)</v>
      </c>
      <c r="B163" s="242" t="s">
        <v>22</v>
      </c>
      <c r="C163" s="250"/>
      <c r="D163" s="259">
        <f>D159</f>
        <v>0.40200000000000002</v>
      </c>
      <c r="E163" s="249">
        <f>'работа 3 добр'!E158</f>
        <v>250</v>
      </c>
      <c r="F163" s="242">
        <v>12</v>
      </c>
      <c r="G163" s="86">
        <f t="shared" ref="G163:G168" si="8">D163*E163*F163</f>
        <v>1206</v>
      </c>
    </row>
    <row r="164" spans="1:7" x14ac:dyDescent="0.25">
      <c r="A164" s="55" t="str">
        <f>'работа 3 добр'!A159</f>
        <v>Абоненская плата за услуги связи, номеров</v>
      </c>
      <c r="B164" s="242" t="s">
        <v>22</v>
      </c>
      <c r="C164" s="250"/>
      <c r="D164" s="259">
        <f>D159</f>
        <v>0.40200000000000002</v>
      </c>
      <c r="E164" s="249">
        <f>'работа 3 добр'!E159</f>
        <v>2250</v>
      </c>
      <c r="F164" s="242">
        <v>12</v>
      </c>
      <c r="G164" s="86">
        <f t="shared" si="8"/>
        <v>10854</v>
      </c>
    </row>
    <row r="165" spans="1:7" hidden="1" x14ac:dyDescent="0.25">
      <c r="A165" s="55" t="str">
        <f>'работа 3 добр'!A160</f>
        <v>Абоненская плата за услуги Интернет кайтнет</v>
      </c>
      <c r="B165" s="242" t="s">
        <v>22</v>
      </c>
      <c r="C165" s="250"/>
      <c r="D165" s="259">
        <f>D159</f>
        <v>0.40200000000000002</v>
      </c>
      <c r="E165" s="249">
        <f>'работа 3 добр'!E160</f>
        <v>0</v>
      </c>
      <c r="F165" s="242">
        <v>12</v>
      </c>
      <c r="G165" s="86">
        <f t="shared" si="8"/>
        <v>0</v>
      </c>
    </row>
    <row r="166" spans="1:7" hidden="1" x14ac:dyDescent="0.25">
      <c r="A166" s="55" t="str">
        <f>'работа 3 добр'!A161</f>
        <v>Абоненская плата за услуги Интернет ИП Крамаренко:</v>
      </c>
      <c r="B166" s="242" t="s">
        <v>22</v>
      </c>
      <c r="C166" s="250"/>
      <c r="D166" s="259">
        <f>D159</f>
        <v>0.40200000000000002</v>
      </c>
      <c r="E166" s="249">
        <f>'работа 3 добр'!E161</f>
        <v>0</v>
      </c>
      <c r="F166" s="242"/>
      <c r="G166" s="86">
        <f t="shared" si="8"/>
        <v>0</v>
      </c>
    </row>
    <row r="167" spans="1:7" x14ac:dyDescent="0.25">
      <c r="A167" s="55" t="str">
        <f>'работа 3 добр'!A162</f>
        <v>Тариф Бизнес начальный</v>
      </c>
      <c r="B167" s="242" t="s">
        <v>93</v>
      </c>
      <c r="C167" s="250"/>
      <c r="D167" s="259">
        <f>D159</f>
        <v>0.40200000000000002</v>
      </c>
      <c r="E167" s="249">
        <f>'работа 3 добр'!E162</f>
        <v>6500</v>
      </c>
      <c r="F167" s="242">
        <v>8</v>
      </c>
      <c r="G167" s="86">
        <f t="shared" si="8"/>
        <v>20904</v>
      </c>
    </row>
    <row r="168" spans="1:7" x14ac:dyDescent="0.25">
      <c r="A168" s="55" t="str">
        <f>'работа 3 добр'!A163</f>
        <v>Тариф Бизнес</v>
      </c>
      <c r="B168" s="242" t="s">
        <v>93</v>
      </c>
      <c r="C168" s="250"/>
      <c r="D168" s="259">
        <f>D159</f>
        <v>0.40200000000000002</v>
      </c>
      <c r="E168" s="249">
        <f>'работа 3 добр'!E163</f>
        <v>11500</v>
      </c>
      <c r="F168" s="242">
        <v>4</v>
      </c>
      <c r="G168" s="86">
        <f t="shared" si="8"/>
        <v>18492</v>
      </c>
    </row>
    <row r="169" spans="1:7" x14ac:dyDescent="0.25">
      <c r="A169" s="55" t="str">
        <f>'работа 3 добр'!A164</f>
        <v>Почтовые услуги</v>
      </c>
      <c r="B169" s="242" t="s">
        <v>93</v>
      </c>
      <c r="C169" s="250"/>
      <c r="D169" s="259">
        <f>D159</f>
        <v>0.40200000000000002</v>
      </c>
      <c r="E169" s="249">
        <f>'работа 3 добр'!E164</f>
        <v>167.6</v>
      </c>
      <c r="F169" s="242">
        <v>12</v>
      </c>
      <c r="G169" s="86">
        <f>D169*E169*F169-0.03</f>
        <v>808.47240000000011</v>
      </c>
    </row>
    <row r="170" spans="1:7" ht="18.75" x14ac:dyDescent="0.3">
      <c r="A170" s="642" t="s">
        <v>26</v>
      </c>
      <c r="B170" s="642"/>
      <c r="C170" s="642"/>
      <c r="D170" s="642"/>
      <c r="E170" s="642"/>
      <c r="F170" s="642"/>
      <c r="G170" s="297">
        <f>SUM(G163:G169)</f>
        <v>52264.472399999999</v>
      </c>
    </row>
    <row r="171" spans="1:7" x14ac:dyDescent="0.25">
      <c r="A171" s="656" t="s">
        <v>61</v>
      </c>
      <c r="B171" s="656"/>
      <c r="C171" s="656"/>
      <c r="D171" s="656"/>
      <c r="E171" s="656"/>
      <c r="F171" s="656"/>
    </row>
    <row r="172" spans="1:7" x14ac:dyDescent="0.25">
      <c r="D172" s="181">
        <f>D159</f>
        <v>0.40200000000000002</v>
      </c>
    </row>
    <row r="173" spans="1:7" x14ac:dyDescent="0.25">
      <c r="A173" s="621" t="s">
        <v>299</v>
      </c>
      <c r="B173" s="621" t="s">
        <v>11</v>
      </c>
      <c r="C173" s="259"/>
      <c r="D173" s="621" t="s">
        <v>53</v>
      </c>
      <c r="E173" s="621" t="s">
        <v>15</v>
      </c>
      <c r="F173" s="622" t="s">
        <v>25</v>
      </c>
      <c r="G173" s="634" t="s">
        <v>6</v>
      </c>
    </row>
    <row r="174" spans="1:7" x14ac:dyDescent="0.25">
      <c r="A174" s="621"/>
      <c r="B174" s="621"/>
      <c r="C174" s="259"/>
      <c r="D174" s="621"/>
      <c r="E174" s="621"/>
      <c r="F174" s="623"/>
      <c r="G174" s="635"/>
    </row>
    <row r="175" spans="1:7" x14ac:dyDescent="0.25">
      <c r="A175" s="259">
        <v>1</v>
      </c>
      <c r="B175" s="259">
        <v>2</v>
      </c>
      <c r="C175" s="259"/>
      <c r="D175" s="259">
        <v>3</v>
      </c>
      <c r="E175" s="259">
        <v>4</v>
      </c>
      <c r="F175" s="259">
        <v>5</v>
      </c>
      <c r="G175" s="86" t="s">
        <v>77</v>
      </c>
    </row>
    <row r="176" spans="1:7" x14ac:dyDescent="0.25">
      <c r="A176" s="139" t="s">
        <v>533</v>
      </c>
      <c r="B176" s="364" t="s">
        <v>141</v>
      </c>
      <c r="C176" s="384"/>
      <c r="D176" s="384">
        <v>0.40200000000000002</v>
      </c>
      <c r="E176" s="384">
        <f>'работа 3 добр'!E171</f>
        <v>8151.4</v>
      </c>
      <c r="F176" s="384">
        <v>1</v>
      </c>
      <c r="G176" s="86">
        <f>D176*E176*F176</f>
        <v>3276.8627999999999</v>
      </c>
    </row>
    <row r="177" spans="1:13" x14ac:dyDescent="0.25">
      <c r="A177" s="75" t="s">
        <v>205</v>
      </c>
      <c r="B177" s="259" t="s">
        <v>22</v>
      </c>
      <c r="C177" s="259"/>
      <c r="D177" s="259">
        <f>1*D172</f>
        <v>0.40200000000000002</v>
      </c>
      <c r="E177" s="272">
        <f>'работа 3 добр'!E172</f>
        <v>10848.6</v>
      </c>
      <c r="F177" s="259">
        <v>1</v>
      </c>
      <c r="G177" s="86">
        <f>D177*E177*F177</f>
        <v>4361.1372000000001</v>
      </c>
    </row>
    <row r="178" spans="1:13" ht="18.75" x14ac:dyDescent="0.25">
      <c r="A178" s="642" t="s">
        <v>62</v>
      </c>
      <c r="B178" s="642"/>
      <c r="C178" s="642"/>
      <c r="D178" s="642"/>
      <c r="E178" s="642"/>
      <c r="F178" s="642"/>
      <c r="G178" s="300">
        <f>SUM(G176:G177)</f>
        <v>7638</v>
      </c>
    </row>
    <row r="179" spans="1:13" ht="18.75" x14ac:dyDescent="0.3">
      <c r="A179" s="656" t="s">
        <v>19</v>
      </c>
      <c r="B179" s="656"/>
      <c r="C179" s="656"/>
      <c r="D179" s="656"/>
      <c r="E179" s="656"/>
      <c r="F179" s="656"/>
      <c r="G179" s="205"/>
    </row>
    <row r="180" spans="1:13" x14ac:dyDescent="0.25">
      <c r="D180" s="181">
        <f>D172</f>
        <v>0.40200000000000002</v>
      </c>
      <c r="H180" s="6"/>
      <c r="I180" s="6"/>
      <c r="J180" s="6"/>
      <c r="K180" s="6"/>
      <c r="L180" s="6"/>
      <c r="M180" s="6"/>
    </row>
    <row r="181" spans="1:13" ht="15.75" customHeight="1" x14ac:dyDescent="0.25">
      <c r="A181" s="621" t="s">
        <v>21</v>
      </c>
      <c r="B181" s="621" t="s">
        <v>11</v>
      </c>
      <c r="C181" s="259"/>
      <c r="D181" s="621" t="s">
        <v>14</v>
      </c>
      <c r="E181" s="621" t="s">
        <v>15</v>
      </c>
      <c r="F181" s="622" t="s">
        <v>6</v>
      </c>
      <c r="H181" s="6"/>
      <c r="I181" s="6"/>
      <c r="J181" s="6"/>
      <c r="K181" s="6"/>
      <c r="L181" s="6"/>
      <c r="M181" s="6"/>
    </row>
    <row r="182" spans="1:13" x14ac:dyDescent="0.25">
      <c r="A182" s="621"/>
      <c r="B182" s="621"/>
      <c r="C182" s="259"/>
      <c r="D182" s="621"/>
      <c r="E182" s="621"/>
      <c r="F182" s="623"/>
      <c r="H182" s="6"/>
      <c r="I182" s="6"/>
      <c r="J182" s="6"/>
      <c r="K182" s="6"/>
      <c r="L182" s="6"/>
      <c r="M182" s="6"/>
    </row>
    <row r="183" spans="1:13" x14ac:dyDescent="0.25">
      <c r="A183" s="259">
        <v>1</v>
      </c>
      <c r="B183" s="259">
        <v>2</v>
      </c>
      <c r="C183" s="259"/>
      <c r="D183" s="259">
        <v>3</v>
      </c>
      <c r="E183" s="259">
        <v>7</v>
      </c>
      <c r="F183" s="259" t="s">
        <v>198</v>
      </c>
      <c r="H183" s="6"/>
      <c r="I183" s="6"/>
      <c r="J183" s="6"/>
      <c r="K183" s="6"/>
      <c r="L183" s="6"/>
      <c r="M183" s="6"/>
    </row>
    <row r="184" spans="1:13" x14ac:dyDescent="0.25">
      <c r="A184" s="78" t="str">
        <f>'работа 3 добр'!A180</f>
        <v xml:space="preserve">Обслуживание систем пожарной сигнализации  </v>
      </c>
      <c r="B184" s="348" t="s">
        <v>22</v>
      </c>
      <c r="C184" s="360"/>
      <c r="D184" s="360">
        <f>12*D180</f>
        <v>4.8239999999999998</v>
      </c>
      <c r="E184" s="360">
        <f>'работа 3 добр'!E180</f>
        <v>2000</v>
      </c>
      <c r="F184" s="363">
        <f t="shared" ref="F184:F206" si="9">D184*E184</f>
        <v>9648</v>
      </c>
      <c r="H184" s="6"/>
      <c r="I184" s="6"/>
      <c r="J184" s="6"/>
      <c r="K184" s="6"/>
      <c r="L184" s="6"/>
      <c r="M184" s="6"/>
    </row>
    <row r="185" spans="1:13" x14ac:dyDescent="0.25">
      <c r="A185" s="78" t="str">
        <f>'работа 3 добр'!A181</f>
        <v xml:space="preserve">Уборка территории от снега </v>
      </c>
      <c r="B185" s="348" t="s">
        <v>22</v>
      </c>
      <c r="C185" s="360"/>
      <c r="D185" s="360">
        <f>2*D180</f>
        <v>0.80400000000000005</v>
      </c>
      <c r="E185" s="360">
        <f>'работа 3 добр'!E181</f>
        <v>23197</v>
      </c>
      <c r="F185" s="363">
        <f t="shared" si="9"/>
        <v>18650.388000000003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'работа 3 добр'!A182</f>
        <v>Профилактическая дезинфекция</v>
      </c>
      <c r="B186" s="348" t="s">
        <v>22</v>
      </c>
      <c r="C186" s="360"/>
      <c r="D186" s="360">
        <f>D180</f>
        <v>0.40200000000000002</v>
      </c>
      <c r="E186" s="360">
        <f>'работа 3 добр'!E182</f>
        <v>12104.4</v>
      </c>
      <c r="F186" s="363">
        <f t="shared" si="9"/>
        <v>4865.9688000000006</v>
      </c>
      <c r="H186" s="6"/>
      <c r="I186" s="6"/>
      <c r="J186" s="6"/>
      <c r="K186" s="6"/>
      <c r="L186" s="6"/>
      <c r="M186" s="6"/>
    </row>
    <row r="187" spans="1:13" ht="31.5" x14ac:dyDescent="0.25">
      <c r="A187" s="78" t="str">
        <f>'работа 3 добр'!A183</f>
        <v>Комплексное обслуживание системы тепловодоснабжения и конструктивных элементов здания</v>
      </c>
      <c r="B187" s="348" t="s">
        <v>22</v>
      </c>
      <c r="C187" s="360"/>
      <c r="D187" s="360">
        <f>D180</f>
        <v>0.40200000000000002</v>
      </c>
      <c r="E187" s="360">
        <f>'работа 3 добр'!E183</f>
        <v>17364.580000000002</v>
      </c>
      <c r="F187" s="363">
        <f t="shared" si="9"/>
        <v>6980.5611600000011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'работа 3 добр'!A184</f>
        <v>Договор ТО автомобиля</v>
      </c>
      <c r="B188" s="348" t="s">
        <v>22</v>
      </c>
      <c r="C188" s="360"/>
      <c r="D188" s="360">
        <f>D180</f>
        <v>0.40200000000000002</v>
      </c>
      <c r="E188" s="360">
        <f>'работа 3 добр'!E184</f>
        <v>39517.64</v>
      </c>
      <c r="F188" s="363">
        <f t="shared" si="9"/>
        <v>15886.091280000001</v>
      </c>
      <c r="H188" s="6"/>
      <c r="I188" s="6"/>
      <c r="J188" s="6"/>
      <c r="K188" s="6"/>
      <c r="L188" s="6"/>
      <c r="M188" s="6"/>
    </row>
    <row r="189" spans="1:13" x14ac:dyDescent="0.25">
      <c r="A189" s="78" t="str">
        <f>'работа 3 добр'!A185</f>
        <v>Восстановительные работы по а/м Хёндай (остаток не под контрактом)</v>
      </c>
      <c r="B189" s="348" t="s">
        <v>22</v>
      </c>
      <c r="C189" s="360"/>
      <c r="D189" s="360">
        <f>D180</f>
        <v>0.40200000000000002</v>
      </c>
      <c r="E189" s="360">
        <f>'работа 3 добр'!E185</f>
        <v>64100</v>
      </c>
      <c r="F189" s="363">
        <f t="shared" si="9"/>
        <v>25768.2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'работа 3 добр'!A186</f>
        <v>Покраска переднего бампера</v>
      </c>
      <c r="B190" s="348" t="s">
        <v>22</v>
      </c>
      <c r="C190" s="360"/>
      <c r="D190" s="360">
        <f>D180</f>
        <v>0.40200000000000002</v>
      </c>
      <c r="E190" s="360">
        <f>'работа 3 добр'!E186</f>
        <v>6900</v>
      </c>
      <c r="F190" s="363">
        <f t="shared" si="9"/>
        <v>2773.8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'работа 3 добр'!A187</f>
        <v>Покраска капота</v>
      </c>
      <c r="B191" s="348" t="s">
        <v>22</v>
      </c>
      <c r="C191" s="360"/>
      <c r="D191" s="360">
        <f>D180</f>
        <v>0.40200000000000002</v>
      </c>
      <c r="E191" s="360">
        <f>'работа 3 добр'!E187</f>
        <v>7400</v>
      </c>
      <c r="F191" s="363">
        <f t="shared" si="9"/>
        <v>2974.8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'работа 3 добр'!A188</f>
        <v>Покраска переднего левого крыла</v>
      </c>
      <c r="B192" s="348" t="s">
        <v>22</v>
      </c>
      <c r="C192" s="360"/>
      <c r="D192" s="360">
        <f t="shared" ref="D192" si="10">D186</f>
        <v>0.40200000000000002</v>
      </c>
      <c r="E192" s="360">
        <f>'работа 3 добр'!E188</f>
        <v>8500</v>
      </c>
      <c r="F192" s="363">
        <f t="shared" si="9"/>
        <v>3417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'работа 3 добр'!A189</f>
        <v>Покраска переднего правого крыла</v>
      </c>
      <c r="B193" s="348" t="s">
        <v>22</v>
      </c>
      <c r="C193" s="360"/>
      <c r="D193" s="360">
        <f t="shared" ref="D193" si="11">D186</f>
        <v>0.40200000000000002</v>
      </c>
      <c r="E193" s="360">
        <f>'работа 3 добр'!E189</f>
        <v>8500</v>
      </c>
      <c r="F193" s="363">
        <f t="shared" si="9"/>
        <v>3417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'работа 3 добр'!A190</f>
        <v>Покраска передней левой двери</v>
      </c>
      <c r="B194" s="348" t="s">
        <v>22</v>
      </c>
      <c r="C194" s="360"/>
      <c r="D194" s="360">
        <f t="shared" ref="D194" si="12">D186</f>
        <v>0.40200000000000002</v>
      </c>
      <c r="E194" s="360">
        <f>'работа 3 добр'!E190</f>
        <v>4000</v>
      </c>
      <c r="F194" s="363">
        <f t="shared" si="9"/>
        <v>1608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'работа 3 добр'!A191</f>
        <v>Покраска двери передней правой</v>
      </c>
      <c r="B195" s="348" t="s">
        <v>22</v>
      </c>
      <c r="C195" s="360"/>
      <c r="D195" s="360">
        <f t="shared" ref="D195" si="13">D189</f>
        <v>0.40200000000000002</v>
      </c>
      <c r="E195" s="360">
        <f>'работа 3 добр'!E191</f>
        <v>4000</v>
      </c>
      <c r="F195" s="363">
        <f t="shared" si="9"/>
        <v>1608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'работа 3 добр'!A192</f>
        <v>Покраска стойки правой</v>
      </c>
      <c r="B196" s="348" t="s">
        <v>22</v>
      </c>
      <c r="C196" s="360"/>
      <c r="D196" s="360">
        <f t="shared" ref="D196" si="14">D189</f>
        <v>0.40200000000000002</v>
      </c>
      <c r="E196" s="360">
        <f>'работа 3 добр'!E192</f>
        <v>3000</v>
      </c>
      <c r="F196" s="363">
        <f t="shared" si="9"/>
        <v>1206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'работа 3 добр'!A193</f>
        <v>Ремонт заднего бампера</v>
      </c>
      <c r="B197" s="348" t="s">
        <v>22</v>
      </c>
      <c r="C197" s="360"/>
      <c r="D197" s="360">
        <f t="shared" ref="D197" si="15">D189</f>
        <v>0.40200000000000002</v>
      </c>
      <c r="E197" s="360">
        <f>'работа 3 добр'!E193</f>
        <v>9500</v>
      </c>
      <c r="F197" s="363">
        <f t="shared" si="9"/>
        <v>3819.0000000000005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'работа 3 добр'!A194</f>
        <v>Покраска заднего бампера</v>
      </c>
      <c r="B198" s="348" t="s">
        <v>22</v>
      </c>
      <c r="C198" s="360"/>
      <c r="D198" s="360">
        <f t="shared" ref="D198" si="16">D192</f>
        <v>0.40200000000000002</v>
      </c>
      <c r="E198" s="360">
        <f>'работа 3 добр'!E194</f>
        <v>9000</v>
      </c>
      <c r="F198" s="363">
        <f t="shared" si="9"/>
        <v>3618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'работа 3 добр'!A195</f>
        <v>Полировка кузова</v>
      </c>
      <c r="B199" s="348" t="s">
        <v>22</v>
      </c>
      <c r="C199" s="360"/>
      <c r="D199" s="360">
        <f t="shared" ref="D199" si="17">D192</f>
        <v>0.40200000000000002</v>
      </c>
      <c r="E199" s="360">
        <f>'работа 3 добр'!E195</f>
        <v>9600</v>
      </c>
      <c r="F199" s="363">
        <f t="shared" si="9"/>
        <v>3859.2000000000003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'работа 3 добр'!A196</f>
        <v>Покраска крышки багажника</v>
      </c>
      <c r="B200" s="348" t="s">
        <v>22</v>
      </c>
      <c r="C200" s="360"/>
      <c r="D200" s="360">
        <f t="shared" ref="D200" si="18">D192</f>
        <v>0.40200000000000002</v>
      </c>
      <c r="E200" s="360">
        <f>'работа 3 добр'!E196</f>
        <v>9500</v>
      </c>
      <c r="F200" s="363">
        <f t="shared" si="9"/>
        <v>3819.0000000000005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'работа 3 добр'!A197</f>
        <v>Полировка стекол со снятием</v>
      </c>
      <c r="B201" s="348" t="s">
        <v>22</v>
      </c>
      <c r="C201" s="360"/>
      <c r="D201" s="360">
        <f t="shared" ref="D201" si="19">D195</f>
        <v>0.40200000000000002</v>
      </c>
      <c r="E201" s="360">
        <f>'работа 3 добр'!E197</f>
        <v>5000</v>
      </c>
      <c r="F201" s="363">
        <f t="shared" si="9"/>
        <v>2010.0000000000002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'работа 3 добр'!A198</f>
        <v>Слесарные работы по восстановлению сидений</v>
      </c>
      <c r="B202" s="348" t="s">
        <v>22</v>
      </c>
      <c r="C202" s="122"/>
      <c r="D202" s="360">
        <f t="shared" ref="D202" si="20">D195</f>
        <v>0.40200000000000002</v>
      </c>
      <c r="E202" s="360">
        <f>'работа 3 добр'!E198</f>
        <v>15000</v>
      </c>
      <c r="F202" s="363">
        <f t="shared" si="9"/>
        <v>6030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'работа 3 добр'!A199</f>
        <v>Ремонт электрогитары</v>
      </c>
      <c r="B203" s="348" t="s">
        <v>22</v>
      </c>
      <c r="C203" s="250"/>
      <c r="D203" s="360">
        <f t="shared" ref="D203" si="21">D195</f>
        <v>0.40200000000000002</v>
      </c>
      <c r="E203" s="360">
        <f>'работа 3 добр'!E199</f>
        <v>2000</v>
      </c>
      <c r="F203" s="363">
        <f t="shared" si="9"/>
        <v>804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'работа 3 добр'!A200</f>
        <v>Ремонт акустической системы</v>
      </c>
      <c r="B204" s="348" t="s">
        <v>22</v>
      </c>
      <c r="C204" s="250"/>
      <c r="D204" s="360">
        <f t="shared" ref="D204" si="22">D198</f>
        <v>0.40200000000000002</v>
      </c>
      <c r="E204" s="360">
        <f>'работа 3 добр'!E200</f>
        <v>2000</v>
      </c>
      <c r="F204" s="363">
        <f t="shared" si="9"/>
        <v>804</v>
      </c>
      <c r="H204" s="6"/>
      <c r="I204" s="6"/>
      <c r="J204" s="6"/>
      <c r="K204" s="6"/>
      <c r="L204" s="6"/>
      <c r="M204" s="6"/>
    </row>
    <row r="205" spans="1:13" ht="15.75" customHeight="1" x14ac:dyDescent="0.25">
      <c r="A205" s="78" t="str">
        <f>'работа 3 добр'!A201</f>
        <v>Ремонт микшера</v>
      </c>
      <c r="B205" s="348" t="s">
        <v>22</v>
      </c>
      <c r="C205" s="250"/>
      <c r="D205" s="360">
        <f t="shared" ref="D205" si="23">D198</f>
        <v>0.40200000000000002</v>
      </c>
      <c r="E205" s="360">
        <f>'работа 3 добр'!E201</f>
        <v>2000</v>
      </c>
      <c r="F205" s="363">
        <f t="shared" si="9"/>
        <v>804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'работа 3 добр'!A202</f>
        <v>Ремонт комбо басовый</v>
      </c>
      <c r="B206" s="348" t="s">
        <v>22</v>
      </c>
      <c r="C206" s="250"/>
      <c r="D206" s="360">
        <f t="shared" ref="D206" si="24">D198</f>
        <v>0.40200000000000002</v>
      </c>
      <c r="E206" s="360">
        <f>'работа 3 добр'!E202</f>
        <v>2000</v>
      </c>
      <c r="F206" s="363">
        <f t="shared" si="9"/>
        <v>804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'работа 3 добр'!A203</f>
        <v>Ремонт Гитарного комбоусителя</v>
      </c>
      <c r="B207" s="286" t="s">
        <v>22</v>
      </c>
      <c r="C207" s="285"/>
      <c r="D207" s="360">
        <f t="shared" ref="D207" si="25">D201</f>
        <v>0.40200000000000002</v>
      </c>
      <c r="E207" s="360">
        <f>'работа 3 добр'!E203</f>
        <v>2000</v>
      </c>
      <c r="F207" s="289">
        <f t="shared" ref="F207:F208" si="26">D207*E207</f>
        <v>804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'работа 3 добр'!A204</f>
        <v>Ремонт аккустической системы</v>
      </c>
      <c r="B208" s="348" t="s">
        <v>22</v>
      </c>
      <c r="C208" s="356"/>
      <c r="D208" s="360">
        <f>D202</f>
        <v>0.40200000000000002</v>
      </c>
      <c r="E208" s="360">
        <f>'работа 3 добр'!E204</f>
        <v>2500</v>
      </c>
      <c r="F208" s="363">
        <f t="shared" si="26"/>
        <v>1005.0000000000001</v>
      </c>
      <c r="H208" s="6"/>
      <c r="I208" s="6"/>
      <c r="J208" s="6"/>
      <c r="K208" s="6"/>
      <c r="L208" s="6"/>
      <c r="M208" s="6"/>
    </row>
    <row r="209" spans="1:13" ht="18.75" x14ac:dyDescent="0.25">
      <c r="A209" s="625" t="s">
        <v>23</v>
      </c>
      <c r="B209" s="626"/>
      <c r="C209" s="626"/>
      <c r="D209" s="626"/>
      <c r="E209" s="627"/>
      <c r="F209" s="170">
        <f>SUM(F184:F208)</f>
        <v>126984.00924000001</v>
      </c>
      <c r="H209" s="6"/>
      <c r="I209" s="6"/>
      <c r="J209" s="6"/>
      <c r="K209" s="6"/>
      <c r="L209" s="6"/>
      <c r="M209" s="6"/>
    </row>
    <row r="210" spans="1:13" x14ac:dyDescent="0.25">
      <c r="A210" s="636" t="s">
        <v>29</v>
      </c>
      <c r="B210" s="637"/>
      <c r="C210" s="637"/>
      <c r="D210" s="637"/>
      <c r="E210" s="637"/>
      <c r="F210" s="638"/>
    </row>
    <row r="211" spans="1:13" x14ac:dyDescent="0.25">
      <c r="A211" s="639">
        <f>D180</f>
        <v>0.40200000000000002</v>
      </c>
      <c r="B211" s="640"/>
      <c r="C211" s="640"/>
      <c r="D211" s="640"/>
      <c r="E211" s="640"/>
      <c r="F211" s="641"/>
    </row>
    <row r="212" spans="1:13" ht="15.75" customHeight="1" x14ac:dyDescent="0.25">
      <c r="A212" s="488" t="s">
        <v>30</v>
      </c>
      <c r="B212" s="488" t="s">
        <v>11</v>
      </c>
      <c r="C212" s="242"/>
      <c r="D212" s="488" t="s">
        <v>14</v>
      </c>
      <c r="E212" s="488" t="s">
        <v>15</v>
      </c>
      <c r="F212" s="525" t="s">
        <v>6</v>
      </c>
    </row>
    <row r="213" spans="1:13" x14ac:dyDescent="0.25">
      <c r="A213" s="488"/>
      <c r="B213" s="488"/>
      <c r="C213" s="242"/>
      <c r="D213" s="488"/>
      <c r="E213" s="488"/>
      <c r="F213" s="526"/>
    </row>
    <row r="214" spans="1:13" x14ac:dyDescent="0.25">
      <c r="A214" s="242">
        <v>1</v>
      </c>
      <c r="B214" s="242">
        <v>2</v>
      </c>
      <c r="C214" s="242"/>
      <c r="D214" s="242">
        <v>3</v>
      </c>
      <c r="E214" s="242">
        <v>7</v>
      </c>
      <c r="F214" s="242" t="s">
        <v>198</v>
      </c>
    </row>
    <row r="215" spans="1:13" x14ac:dyDescent="0.25">
      <c r="A215" s="275" t="str">
        <f>'работа 3 добр'!A211</f>
        <v>Обучение персонала</v>
      </c>
      <c r="B215" s="242" t="s">
        <v>22</v>
      </c>
      <c r="C215" s="242"/>
      <c r="D215" s="318">
        <f>5*A211</f>
        <v>2.0100000000000002</v>
      </c>
      <c r="E215" s="318">
        <f>'работа 3 добр'!E211</f>
        <v>12000</v>
      </c>
      <c r="F215" s="417">
        <f>D215*E215</f>
        <v>24120.000000000004</v>
      </c>
    </row>
    <row r="216" spans="1:13" ht="24.75" customHeight="1" x14ac:dyDescent="0.25">
      <c r="A216" s="275" t="str">
        <f>'работа 3 добр'!A212</f>
        <v>Услуги СЕМИС подписка</v>
      </c>
      <c r="B216" s="242" t="s">
        <v>22</v>
      </c>
      <c r="C216" s="242"/>
      <c r="D216" s="318">
        <f>A211</f>
        <v>0.40200000000000002</v>
      </c>
      <c r="E216" s="318">
        <f>'работа 3 добр'!E212</f>
        <v>1606</v>
      </c>
      <c r="F216" s="417">
        <f t="shared" ref="F216:F234" si="27">D216*E216</f>
        <v>645.61200000000008</v>
      </c>
    </row>
    <row r="217" spans="1:13" x14ac:dyDescent="0.25">
      <c r="A217" s="275" t="str">
        <f>'работа 3 добр'!A213</f>
        <v xml:space="preserve">Обслуживание систем пожарной сигнализации  </v>
      </c>
      <c r="B217" s="242" t="s">
        <v>22</v>
      </c>
      <c r="C217" s="242"/>
      <c r="D217" s="318">
        <f>A211*12</f>
        <v>4.8239999999999998</v>
      </c>
      <c r="E217" s="318">
        <f>'работа 3 добр'!E213</f>
        <v>2000</v>
      </c>
      <c r="F217" s="417">
        <f t="shared" si="27"/>
        <v>9648</v>
      </c>
    </row>
    <row r="218" spans="1:13" x14ac:dyDescent="0.25">
      <c r="A218" s="275" t="str">
        <f>'работа 3 добр'!A214</f>
        <v xml:space="preserve">Обслуживание систем видеонаблюдения </v>
      </c>
      <c r="B218" s="242" t="s">
        <v>22</v>
      </c>
      <c r="C218" s="242"/>
      <c r="D218" s="318">
        <f>A211*12</f>
        <v>4.8239999999999998</v>
      </c>
      <c r="E218" s="318">
        <f>'работа 3 добр'!E214</f>
        <v>1000</v>
      </c>
      <c r="F218" s="417">
        <f t="shared" si="27"/>
        <v>4824</v>
      </c>
    </row>
    <row r="219" spans="1:13" x14ac:dyDescent="0.25">
      <c r="A219" s="275" t="str">
        <f>'работа 3 добр'!A215</f>
        <v>Предрейсовое медицинское обследование 247дней*90руб</v>
      </c>
      <c r="B219" s="187" t="s">
        <v>22</v>
      </c>
      <c r="C219" s="242"/>
      <c r="D219" s="318">
        <f>A211</f>
        <v>0.40200000000000002</v>
      </c>
      <c r="E219" s="318">
        <f>'работа 3 добр'!E215</f>
        <v>18445</v>
      </c>
      <c r="F219" s="417">
        <f t="shared" si="27"/>
        <v>7414.89</v>
      </c>
    </row>
    <row r="220" spans="1:13" x14ac:dyDescent="0.25">
      <c r="A220" s="275" t="str">
        <f>'работа 3 добр'!A216</f>
        <v xml:space="preserve">Услуги охраны  </v>
      </c>
      <c r="B220" s="242" t="s">
        <v>22</v>
      </c>
      <c r="C220" s="242"/>
      <c r="D220" s="318">
        <f>12*A211</f>
        <v>4.8239999999999998</v>
      </c>
      <c r="E220" s="318">
        <f>'работа 3 добр'!E216</f>
        <v>8000</v>
      </c>
      <c r="F220" s="417">
        <f t="shared" si="27"/>
        <v>38592</v>
      </c>
    </row>
    <row r="221" spans="1:13" x14ac:dyDescent="0.25">
      <c r="A221" s="275" t="str">
        <f>'работа 3 добр'!A217</f>
        <v>Обслуживание систем охранных средств сигнализации (тревожная кнопка)</v>
      </c>
      <c r="B221" s="242" t="s">
        <v>22</v>
      </c>
      <c r="C221" s="242"/>
      <c r="D221" s="318">
        <f>12*A211</f>
        <v>4.8239999999999998</v>
      </c>
      <c r="E221" s="318">
        <f>'работа 3 добр'!E217</f>
        <v>5000</v>
      </c>
      <c r="F221" s="417">
        <f t="shared" si="27"/>
        <v>24120</v>
      </c>
    </row>
    <row r="222" spans="1:13" x14ac:dyDescent="0.25">
      <c r="A222" s="275" t="str">
        <f>'работа 3 добр'!A218</f>
        <v>Организация светового сопровождения мероприятия</v>
      </c>
      <c r="B222" s="242" t="s">
        <v>22</v>
      </c>
      <c r="C222" s="242"/>
      <c r="D222" s="318">
        <f>A211</f>
        <v>0.40200000000000002</v>
      </c>
      <c r="E222" s="318">
        <f>'работа 3 добр'!E218</f>
        <v>31500</v>
      </c>
      <c r="F222" s="417">
        <f t="shared" si="27"/>
        <v>12663</v>
      </c>
    </row>
    <row r="223" spans="1:13" x14ac:dyDescent="0.25">
      <c r="A223" s="275" t="str">
        <f>'работа 3 добр'!A219</f>
        <v xml:space="preserve">Заключение договора на прохождение предварительного мед осмотра сотрудниками </v>
      </c>
      <c r="B223" s="242" t="s">
        <v>22</v>
      </c>
      <c r="C223" s="242"/>
      <c r="D223" s="318">
        <f>6*A211</f>
        <v>2.4119999999999999</v>
      </c>
      <c r="E223" s="318">
        <f>'работа 3 добр'!E219</f>
        <v>5423.22</v>
      </c>
      <c r="F223" s="417">
        <f t="shared" si="27"/>
        <v>13080.806640000001</v>
      </c>
    </row>
    <row r="224" spans="1:13" x14ac:dyDescent="0.25">
      <c r="A224" s="275" t="str">
        <f>'работа 3 добр'!A220</f>
        <v>Прохождение периодического мед осмотра водителем</v>
      </c>
      <c r="B224" s="242" t="s">
        <v>22</v>
      </c>
      <c r="C224" s="242"/>
      <c r="D224" s="318">
        <v>0.40200000000000002</v>
      </c>
      <c r="E224" s="318">
        <f>'работа 3 добр'!E220</f>
        <v>5000</v>
      </c>
      <c r="F224" s="417">
        <f t="shared" si="27"/>
        <v>2010.0000000000002</v>
      </c>
    </row>
    <row r="225" spans="1:6" x14ac:dyDescent="0.25">
      <c r="A225" s="275" t="str">
        <f>'работа 3 добр'!A221</f>
        <v>Страховая премия по полису ОСАГО за УАЗ</v>
      </c>
      <c r="B225" s="286" t="s">
        <v>22</v>
      </c>
      <c r="C225" s="286"/>
      <c r="D225" s="319">
        <f>A211</f>
        <v>0.40200000000000002</v>
      </c>
      <c r="E225" s="318">
        <f>'работа 3 добр'!E221</f>
        <v>3600.68</v>
      </c>
      <c r="F225" s="417">
        <f t="shared" si="27"/>
        <v>1447.47336</v>
      </c>
    </row>
    <row r="226" spans="1:6" x14ac:dyDescent="0.25">
      <c r="A226" s="275" t="str">
        <f>'работа 3 добр'!A222</f>
        <v>Microsoft Windows</v>
      </c>
      <c r="B226" s="286" t="s">
        <v>22</v>
      </c>
      <c r="C226" s="286"/>
      <c r="D226" s="319">
        <f>0.402*7</f>
        <v>2.8140000000000001</v>
      </c>
      <c r="E226" s="318">
        <f>'работа 3 добр'!E222</f>
        <v>4400</v>
      </c>
      <c r="F226" s="417">
        <f t="shared" si="27"/>
        <v>12381.6</v>
      </c>
    </row>
    <row r="227" spans="1:6" x14ac:dyDescent="0.25">
      <c r="A227" s="275" t="str">
        <f>'работа 3 добр'!A223</f>
        <v>Microsoft Offise</v>
      </c>
      <c r="B227" s="286" t="s">
        <v>22</v>
      </c>
      <c r="C227" s="286"/>
      <c r="D227" s="318">
        <f>A211*2</f>
        <v>0.80400000000000005</v>
      </c>
      <c r="E227" s="318">
        <f>'работа 3 добр'!E223</f>
        <v>6630</v>
      </c>
      <c r="F227" s="417">
        <f t="shared" si="27"/>
        <v>5330.52</v>
      </c>
    </row>
    <row r="228" spans="1:6" x14ac:dyDescent="0.25">
      <c r="A228" s="275" t="str">
        <f>'работа 3 добр'!A224</f>
        <v>Dr Web Security</v>
      </c>
      <c r="B228" s="286" t="s">
        <v>22</v>
      </c>
      <c r="C228" s="286"/>
      <c r="D228" s="185">
        <v>0.40200000000000002</v>
      </c>
      <c r="E228" s="318">
        <f>'работа 3 добр'!E224</f>
        <v>1450</v>
      </c>
      <c r="F228" s="417">
        <f t="shared" si="27"/>
        <v>582.90000000000009</v>
      </c>
    </row>
    <row r="229" spans="1:6" x14ac:dyDescent="0.25">
      <c r="A229" s="275" t="str">
        <f>'работа 3 добр'!A225</f>
        <v>Dr Web Security Spase</v>
      </c>
      <c r="B229" s="286" t="s">
        <v>22</v>
      </c>
      <c r="C229" s="286"/>
      <c r="D229" s="185">
        <f>A211</f>
        <v>0.40200000000000002</v>
      </c>
      <c r="E229" s="318">
        <f>'работа 3 добр'!E225</f>
        <v>2750</v>
      </c>
      <c r="F229" s="417">
        <f t="shared" si="27"/>
        <v>1105.5</v>
      </c>
    </row>
    <row r="230" spans="1:6" x14ac:dyDescent="0.25">
      <c r="A230" s="275" t="str">
        <f>'работа 3 добр'!A226</f>
        <v>Оплата гос пошлины</v>
      </c>
      <c r="B230" s="349" t="str">
        <f>'работа 3 добр'!B226</f>
        <v>ед</v>
      </c>
      <c r="C230" s="348"/>
      <c r="D230" s="185">
        <f>D229</f>
        <v>0.40200000000000002</v>
      </c>
      <c r="E230" s="424">
        <f>'работа 3 добр'!E226</f>
        <v>2000</v>
      </c>
      <c r="F230" s="417">
        <f t="shared" si="27"/>
        <v>804</v>
      </c>
    </row>
    <row r="231" spans="1:6" x14ac:dyDescent="0.25">
      <c r="A231" s="275" t="str">
        <f>'работа 3 добр'!A227</f>
        <v xml:space="preserve">Оплата за негативное воздействие </v>
      </c>
      <c r="B231" s="349" t="str">
        <f>'работа 3 добр'!B227</f>
        <v>ед</v>
      </c>
      <c r="C231" s="348"/>
      <c r="D231" s="185">
        <f>D229</f>
        <v>0.40200000000000002</v>
      </c>
      <c r="E231" s="424">
        <f>'работа 3 добр'!E227</f>
        <v>500</v>
      </c>
      <c r="F231" s="417">
        <f t="shared" si="27"/>
        <v>201</v>
      </c>
    </row>
    <row r="232" spans="1:6" x14ac:dyDescent="0.25">
      <c r="A232" s="275" t="str">
        <f>'работа 3 добр'!A228</f>
        <v>ПУГНП</v>
      </c>
      <c r="B232" s="185" t="s">
        <v>93</v>
      </c>
      <c r="C232" s="286"/>
      <c r="D232" s="185">
        <f>PRODUCT(Лист1!G3,$A$211)</f>
        <v>20.100000000000001</v>
      </c>
      <c r="E232" s="283">
        <f>Лист1!H3</f>
        <v>28</v>
      </c>
      <c r="F232" s="417">
        <f t="shared" si="27"/>
        <v>562.80000000000007</v>
      </c>
    </row>
    <row r="233" spans="1:6" x14ac:dyDescent="0.25">
      <c r="A233" s="275" t="str">
        <f>'работа 3 добр'!A229</f>
        <v>пакет майка</v>
      </c>
      <c r="B233" s="185" t="s">
        <v>93</v>
      </c>
      <c r="C233" s="286"/>
      <c r="D233" s="185">
        <f>PRODUCT(Лист1!G4,$A$211)</f>
        <v>0.40200000000000002</v>
      </c>
      <c r="E233" s="350">
        <f>Лист1!H4</f>
        <v>5</v>
      </c>
      <c r="F233" s="417">
        <f t="shared" si="27"/>
        <v>2.0100000000000002</v>
      </c>
    </row>
    <row r="234" spans="1:6" x14ac:dyDescent="0.25">
      <c r="A234" s="275" t="str">
        <f>'работа 3 добр'!A230</f>
        <v>розетка</v>
      </c>
      <c r="B234" s="185" t="s">
        <v>93</v>
      </c>
      <c r="C234" s="286"/>
      <c r="D234" s="185">
        <f>PRODUCT(Лист1!G5,$A$211)</f>
        <v>2.0100000000000002</v>
      </c>
      <c r="E234" s="350">
        <f>Лист1!H5</f>
        <v>163</v>
      </c>
      <c r="F234" s="417">
        <f t="shared" si="27"/>
        <v>327.63000000000005</v>
      </c>
    </row>
    <row r="235" spans="1:6" x14ac:dyDescent="0.25">
      <c r="A235" s="275" t="str">
        <f>'работа 3 добр'!A231</f>
        <v>Вилка евро</v>
      </c>
      <c r="B235" s="185" t="s">
        <v>93</v>
      </c>
      <c r="C235" s="242"/>
      <c r="D235" s="185">
        <f>PRODUCT(Лист1!G6,$A$211)</f>
        <v>2.0100000000000002</v>
      </c>
      <c r="E235" s="350">
        <f>Лист1!H6</f>
        <v>180</v>
      </c>
      <c r="F235" s="417">
        <f t="shared" ref="F235:F268" si="28">D235*E235</f>
        <v>361.80000000000007</v>
      </c>
    </row>
    <row r="236" spans="1:6" x14ac:dyDescent="0.25">
      <c r="A236" s="275" t="str">
        <f>'работа 3 добр'!A232</f>
        <v>розетка "Пралеска"</v>
      </c>
      <c r="B236" s="185" t="s">
        <v>93</v>
      </c>
      <c r="C236" s="242"/>
      <c r="D236" s="185">
        <f>PRODUCT(Лист1!G7,$A$211)</f>
        <v>1.206</v>
      </c>
      <c r="E236" s="350">
        <f>Лист1!H7</f>
        <v>379</v>
      </c>
      <c r="F236" s="417">
        <f t="shared" si="28"/>
        <v>457.07400000000001</v>
      </c>
    </row>
    <row r="237" spans="1:6" x14ac:dyDescent="0.25">
      <c r="A237" s="275" t="str">
        <f>'работа 3 добр'!A233</f>
        <v>лампа "Онлайт"</v>
      </c>
      <c r="B237" s="185" t="s">
        <v>93</v>
      </c>
      <c r="C237" s="242"/>
      <c r="D237" s="185">
        <f>PRODUCT(Лист1!G8,$A$211)</f>
        <v>10.452</v>
      </c>
      <c r="E237" s="350">
        <f>Лист1!H8</f>
        <v>76</v>
      </c>
      <c r="F237" s="417">
        <f t="shared" si="28"/>
        <v>794.35199999999998</v>
      </c>
    </row>
    <row r="238" spans="1:6" x14ac:dyDescent="0.25">
      <c r="A238" s="275" t="str">
        <f>'работа 3 добр'!A234</f>
        <v>пугнп</v>
      </c>
      <c r="B238" s="185" t="s">
        <v>93</v>
      </c>
      <c r="C238" s="242"/>
      <c r="D238" s="185">
        <f>PRODUCT(Лист1!G9,$A$211)</f>
        <v>2.8140000000000001</v>
      </c>
      <c r="E238" s="350">
        <f>Лист1!H9</f>
        <v>28</v>
      </c>
      <c r="F238" s="417">
        <f t="shared" si="28"/>
        <v>78.792000000000002</v>
      </c>
    </row>
    <row r="239" spans="1:6" x14ac:dyDescent="0.25">
      <c r="A239" s="275" t="str">
        <f>'работа 3 добр'!A235</f>
        <v>светильник точечный</v>
      </c>
      <c r="B239" s="185" t="s">
        <v>93</v>
      </c>
      <c r="C239" s="242"/>
      <c r="D239" s="185">
        <f>PRODUCT(Лист1!G10,$A$211)</f>
        <v>4.0200000000000005</v>
      </c>
      <c r="E239" s="350">
        <f>Лист1!H10</f>
        <v>68</v>
      </c>
      <c r="F239" s="417">
        <f t="shared" si="28"/>
        <v>273.36</v>
      </c>
    </row>
    <row r="240" spans="1:6" x14ac:dyDescent="0.25">
      <c r="A240" s="275" t="str">
        <f>'работа 3 добр'!A236</f>
        <v>светильник точечный</v>
      </c>
      <c r="B240" s="185" t="s">
        <v>93</v>
      </c>
      <c r="C240" s="242"/>
      <c r="D240" s="185">
        <f>PRODUCT(Лист1!G11,$A$211)</f>
        <v>4.0200000000000005</v>
      </c>
      <c r="E240" s="350">
        <f>Лист1!H11</f>
        <v>105</v>
      </c>
      <c r="F240" s="417">
        <f t="shared" si="28"/>
        <v>422.1</v>
      </c>
    </row>
    <row r="241" spans="1:6" x14ac:dyDescent="0.25">
      <c r="A241" s="275" t="str">
        <f>'работа 3 добр'!A237</f>
        <v>светильник точечный</v>
      </c>
      <c r="B241" s="185" t="s">
        <v>93</v>
      </c>
      <c r="C241" s="242"/>
      <c r="D241" s="185">
        <f>PRODUCT(Лист1!G12,$A$211)</f>
        <v>2.4119999999999999</v>
      </c>
      <c r="E241" s="350">
        <f>Лист1!H12</f>
        <v>93</v>
      </c>
      <c r="F241" s="417">
        <f t="shared" si="28"/>
        <v>224.316</v>
      </c>
    </row>
    <row r="242" spans="1:6" x14ac:dyDescent="0.25">
      <c r="A242" s="275" t="str">
        <f>'работа 3 добр'!A238</f>
        <v>эмаль аэрозоль</v>
      </c>
      <c r="B242" s="185" t="s">
        <v>93</v>
      </c>
      <c r="C242" s="242"/>
      <c r="D242" s="185">
        <f>PRODUCT(Лист1!G13,$A$211)</f>
        <v>0.80400000000000005</v>
      </c>
      <c r="E242" s="350">
        <f>Лист1!H13</f>
        <v>220</v>
      </c>
      <c r="F242" s="417">
        <f t="shared" si="28"/>
        <v>176.88000000000002</v>
      </c>
    </row>
    <row r="243" spans="1:6" x14ac:dyDescent="0.25">
      <c r="A243" s="275" t="str">
        <f>'работа 3 добр'!A239</f>
        <v>пила сегментная</v>
      </c>
      <c r="B243" s="185" t="s">
        <v>93</v>
      </c>
      <c r="C243" s="242"/>
      <c r="D243" s="185">
        <f>PRODUCT(Лист1!G14,$A$211)</f>
        <v>0.40200000000000002</v>
      </c>
      <c r="E243" s="350">
        <f>Лист1!H14</f>
        <v>543</v>
      </c>
      <c r="F243" s="417">
        <f t="shared" si="28"/>
        <v>218.286</v>
      </c>
    </row>
    <row r="244" spans="1:6" x14ac:dyDescent="0.25">
      <c r="A244" s="275" t="str">
        <f>'работа 3 добр'!A240</f>
        <v>комплект крепежей для батареи</v>
      </c>
      <c r="B244" s="185" t="s">
        <v>93</v>
      </c>
      <c r="C244" s="242"/>
      <c r="D244" s="185">
        <f>PRODUCT(Лист1!G15,$A$211)</f>
        <v>1.206</v>
      </c>
      <c r="E244" s="350">
        <f>Лист1!H15</f>
        <v>270</v>
      </c>
      <c r="F244" s="417">
        <f t="shared" si="28"/>
        <v>325.62</v>
      </c>
    </row>
    <row r="245" spans="1:6" x14ac:dyDescent="0.25">
      <c r="A245" s="275" t="str">
        <f>'работа 3 добр'!A241</f>
        <v>набор для радиатора</v>
      </c>
      <c r="B245" s="185" t="s">
        <v>93</v>
      </c>
      <c r="C245" s="242"/>
      <c r="D245" s="185">
        <f>PRODUCT(Лист1!G16,$A$211)</f>
        <v>1.206</v>
      </c>
      <c r="E245" s="350">
        <f>Лист1!H16</f>
        <v>235</v>
      </c>
      <c r="F245" s="417">
        <f t="shared" si="28"/>
        <v>283.40999999999997</v>
      </c>
    </row>
    <row r="246" spans="1:6" x14ac:dyDescent="0.25">
      <c r="A246" s="275" t="str">
        <f>'работа 3 добр'!A242</f>
        <v>лампа "Онлайт"</v>
      </c>
      <c r="B246" s="185" t="s">
        <v>93</v>
      </c>
      <c r="C246" s="242"/>
      <c r="D246" s="185">
        <f>PRODUCT(Лист1!G17,$A$211)</f>
        <v>2.0100000000000002</v>
      </c>
      <c r="E246" s="350">
        <f>Лист1!H17</f>
        <v>165</v>
      </c>
      <c r="F246" s="417">
        <f t="shared" si="28"/>
        <v>331.65000000000003</v>
      </c>
    </row>
    <row r="247" spans="1:6" x14ac:dyDescent="0.25">
      <c r="A247" s="275" t="str">
        <f>'работа 3 добр'!A243</f>
        <v>Прожектор светодиодный</v>
      </c>
      <c r="B247" s="185" t="s">
        <v>93</v>
      </c>
      <c r="C247" s="242"/>
      <c r="D247" s="185">
        <f>PRODUCT(Лист1!G18,$A$211)</f>
        <v>0.80400000000000005</v>
      </c>
      <c r="E247" s="350">
        <f>Лист1!H18</f>
        <v>280</v>
      </c>
      <c r="F247" s="417">
        <f t="shared" si="28"/>
        <v>225.12</v>
      </c>
    </row>
    <row r="248" spans="1:6" x14ac:dyDescent="0.25">
      <c r="A248" s="275" t="str">
        <f>'работа 3 добр'!A244</f>
        <v>скотч 48 мм</v>
      </c>
      <c r="B248" s="185" t="s">
        <v>93</v>
      </c>
      <c r="C248" s="242"/>
      <c r="D248" s="185">
        <f>PRODUCT(Лист1!G19,$A$211)</f>
        <v>4.8239999999999998</v>
      </c>
      <c r="E248" s="350">
        <f>Лист1!H19</f>
        <v>120</v>
      </c>
      <c r="F248" s="417">
        <f t="shared" si="28"/>
        <v>578.88</v>
      </c>
    </row>
    <row r="249" spans="1:6" x14ac:dyDescent="0.25">
      <c r="A249" s="275" t="str">
        <f>'работа 3 добр'!A245</f>
        <v>скотч армированный</v>
      </c>
      <c r="B249" s="185" t="s">
        <v>93</v>
      </c>
      <c r="C249" s="242"/>
      <c r="D249" s="185">
        <f>PRODUCT(Лист1!G20,$A$211)</f>
        <v>0.80400000000000005</v>
      </c>
      <c r="E249" s="350">
        <f>Лист1!H20</f>
        <v>77</v>
      </c>
      <c r="F249" s="417">
        <f t="shared" si="28"/>
        <v>61.908000000000001</v>
      </c>
    </row>
    <row r="250" spans="1:6" x14ac:dyDescent="0.25">
      <c r="A250" s="275" t="str">
        <f>'работа 3 добр'!A246</f>
        <v>эмаль аэрозоль металлик</v>
      </c>
      <c r="B250" s="185" t="s">
        <v>93</v>
      </c>
      <c r="C250" s="242"/>
      <c r="D250" s="185">
        <f>PRODUCT(Лист1!G21,$A$211)</f>
        <v>0.40200000000000002</v>
      </c>
      <c r="E250" s="350">
        <f>Лист1!H21</f>
        <v>220</v>
      </c>
      <c r="F250" s="417">
        <f t="shared" si="28"/>
        <v>88.440000000000012</v>
      </c>
    </row>
    <row r="251" spans="1:6" x14ac:dyDescent="0.25">
      <c r="A251" s="275" t="str">
        <f>'работа 3 добр'!A247</f>
        <v>эмаль аэрозоль коричн</v>
      </c>
      <c r="B251" s="185" t="s">
        <v>93</v>
      </c>
      <c r="C251" s="242"/>
      <c r="D251" s="185">
        <f>PRODUCT(Лист1!G22,$A$211)</f>
        <v>0.40200000000000002</v>
      </c>
      <c r="E251" s="350">
        <f>Лист1!H22</f>
        <v>193</v>
      </c>
      <c r="F251" s="417">
        <f t="shared" si="28"/>
        <v>77.585999999999999</v>
      </c>
    </row>
    <row r="252" spans="1:6" x14ac:dyDescent="0.25">
      <c r="A252" s="275" t="str">
        <f>'работа 3 добр'!A248</f>
        <v>эмаль разн цвет</v>
      </c>
      <c r="B252" s="185" t="s">
        <v>93</v>
      </c>
      <c r="C252" s="242"/>
      <c r="D252" s="185">
        <f>PRODUCT(Лист1!G23,$A$211)</f>
        <v>1.6080000000000001</v>
      </c>
      <c r="E252" s="350">
        <f>Лист1!H23</f>
        <v>270</v>
      </c>
      <c r="F252" s="417">
        <f t="shared" si="28"/>
        <v>434.16</v>
      </c>
    </row>
    <row r="253" spans="1:6" x14ac:dyDescent="0.25">
      <c r="A253" s="275" t="str">
        <f>'работа 3 добр'!A249</f>
        <v>скоба</v>
      </c>
      <c r="B253" s="185" t="s">
        <v>93</v>
      </c>
      <c r="C253" s="242"/>
      <c r="D253" s="185">
        <f>PRODUCT(Лист1!G24,$A$211)</f>
        <v>2.0100000000000002</v>
      </c>
      <c r="E253" s="350">
        <f>Лист1!H24</f>
        <v>54</v>
      </c>
      <c r="F253" s="417">
        <f t="shared" si="28"/>
        <v>108.54</v>
      </c>
    </row>
    <row r="254" spans="1:6" x14ac:dyDescent="0.25">
      <c r="A254" s="275" t="str">
        <f>'работа 3 добр'!A250</f>
        <v>стяжка для провода</v>
      </c>
      <c r="B254" s="185" t="s">
        <v>93</v>
      </c>
      <c r="C254" s="242"/>
      <c r="D254" s="185">
        <f>PRODUCT(Лист1!G25,$A$211)</f>
        <v>0.80400000000000005</v>
      </c>
      <c r="E254" s="350">
        <f>Лист1!H25</f>
        <v>223</v>
      </c>
      <c r="F254" s="417">
        <f t="shared" si="28"/>
        <v>179.292</v>
      </c>
    </row>
    <row r="255" spans="1:6" x14ac:dyDescent="0.25">
      <c r="A255" s="275" t="str">
        <f>'работа 3 добр'!A251</f>
        <v>стяжка для провода</v>
      </c>
      <c r="B255" s="185" t="s">
        <v>93</v>
      </c>
      <c r="C255" s="242"/>
      <c r="D255" s="185">
        <f>PRODUCT(Лист1!G26,$A$211)</f>
        <v>0.80400000000000005</v>
      </c>
      <c r="E255" s="350">
        <f>Лист1!H26</f>
        <v>90</v>
      </c>
      <c r="F255" s="417">
        <f t="shared" si="28"/>
        <v>72.36</v>
      </c>
    </row>
    <row r="256" spans="1:6" x14ac:dyDescent="0.25">
      <c r="A256" s="275" t="str">
        <f>'работа 3 добр'!A252</f>
        <v>дюбель</v>
      </c>
      <c r="B256" s="185" t="s">
        <v>93</v>
      </c>
      <c r="C256" s="242"/>
      <c r="D256" s="185">
        <f>PRODUCT(Лист1!G27,$A$211)</f>
        <v>79.998000000000005</v>
      </c>
      <c r="E256" s="350">
        <f>Лист1!H27</f>
        <v>1</v>
      </c>
      <c r="F256" s="417">
        <f t="shared" si="28"/>
        <v>79.998000000000005</v>
      </c>
    </row>
    <row r="257" spans="1:6" x14ac:dyDescent="0.25">
      <c r="A257" s="275" t="str">
        <f>'работа 3 добр'!A253</f>
        <v>бокорезы</v>
      </c>
      <c r="B257" s="185" t="s">
        <v>93</v>
      </c>
      <c r="C257" s="242"/>
      <c r="D257" s="185">
        <f>PRODUCT(Лист1!G28,$A$211)</f>
        <v>0.40200000000000002</v>
      </c>
      <c r="E257" s="350">
        <f>Лист1!H28</f>
        <v>371</v>
      </c>
      <c r="F257" s="417">
        <f t="shared" si="28"/>
        <v>149.142</v>
      </c>
    </row>
    <row r="258" spans="1:6" x14ac:dyDescent="0.25">
      <c r="A258" s="275" t="str">
        <f>'работа 3 добр'!A254</f>
        <v>плоскогубцы</v>
      </c>
      <c r="B258" s="185" t="s">
        <v>93</v>
      </c>
      <c r="C258" s="242"/>
      <c r="D258" s="185">
        <f>PRODUCT(Лист1!G29,$A$211)</f>
        <v>0.40200000000000002</v>
      </c>
      <c r="E258" s="350">
        <f>Лист1!H29</f>
        <v>329</v>
      </c>
      <c r="F258" s="417">
        <f t="shared" si="28"/>
        <v>132.25800000000001</v>
      </c>
    </row>
    <row r="259" spans="1:6" x14ac:dyDescent="0.25">
      <c r="A259" s="275" t="str">
        <f>'работа 3 добр'!A255</f>
        <v>бита</v>
      </c>
      <c r="B259" s="185" t="s">
        <v>93</v>
      </c>
      <c r="C259" s="242"/>
      <c r="D259" s="185">
        <f>PRODUCT(Лист1!G30,$A$211)</f>
        <v>0.40200000000000002</v>
      </c>
      <c r="E259" s="350">
        <f>Лист1!H30</f>
        <v>101</v>
      </c>
      <c r="F259" s="417">
        <f t="shared" si="28"/>
        <v>40.602000000000004</v>
      </c>
    </row>
    <row r="260" spans="1:6" x14ac:dyDescent="0.25">
      <c r="A260" s="275" t="str">
        <f>'работа 3 добр'!A256</f>
        <v>бита</v>
      </c>
      <c r="B260" s="185" t="s">
        <v>93</v>
      </c>
      <c r="C260" s="242"/>
      <c r="D260" s="185">
        <f>PRODUCT(Лист1!G31,$A$211)</f>
        <v>0.40200000000000002</v>
      </c>
      <c r="E260" s="350">
        <f>Лист1!H31</f>
        <v>61</v>
      </c>
      <c r="F260" s="417">
        <f t="shared" si="28"/>
        <v>24.522000000000002</v>
      </c>
    </row>
    <row r="261" spans="1:6" x14ac:dyDescent="0.25">
      <c r="A261" s="275" t="str">
        <f>'работа 3 добр'!A257</f>
        <v>угольник</v>
      </c>
      <c r="B261" s="185" t="s">
        <v>93</v>
      </c>
      <c r="C261" s="242"/>
      <c r="D261" s="185">
        <f>PRODUCT(Лист1!G32,$A$211)</f>
        <v>0.40200000000000002</v>
      </c>
      <c r="E261" s="350">
        <f>Лист1!H32</f>
        <v>582</v>
      </c>
      <c r="F261" s="417">
        <f t="shared" si="28"/>
        <v>233.96400000000003</v>
      </c>
    </row>
    <row r="262" spans="1:6" x14ac:dyDescent="0.25">
      <c r="A262" s="275" t="str">
        <f>'работа 3 добр'!A258</f>
        <v>угольник</v>
      </c>
      <c r="B262" s="185" t="s">
        <v>93</v>
      </c>
      <c r="C262" s="242"/>
      <c r="D262" s="185">
        <f>PRODUCT(Лист1!G33,$A$211)</f>
        <v>0.40200000000000002</v>
      </c>
      <c r="E262" s="350">
        <f>Лист1!H33</f>
        <v>449</v>
      </c>
      <c r="F262" s="417">
        <f t="shared" si="28"/>
        <v>180.49800000000002</v>
      </c>
    </row>
    <row r="263" spans="1:6" x14ac:dyDescent="0.25">
      <c r="A263" s="275" t="str">
        <f>'работа 3 добр'!A259</f>
        <v>штангенциркуль</v>
      </c>
      <c r="B263" s="185" t="s">
        <v>93</v>
      </c>
      <c r="C263" s="242"/>
      <c r="D263" s="185">
        <f>PRODUCT(Лист1!G34,$A$211)</f>
        <v>0.40200000000000002</v>
      </c>
      <c r="E263" s="350">
        <f>Лист1!H34</f>
        <v>800</v>
      </c>
      <c r="F263" s="417">
        <f t="shared" si="28"/>
        <v>321.60000000000002</v>
      </c>
    </row>
    <row r="264" spans="1:6" x14ac:dyDescent="0.25">
      <c r="A264" s="275" t="str">
        <f>'работа 3 добр'!A260</f>
        <v>пугнп 2*1,5</v>
      </c>
      <c r="B264" s="185" t="s">
        <v>93</v>
      </c>
      <c r="C264" s="242"/>
      <c r="D264" s="185">
        <f>PRODUCT(Лист1!G35,$A$211)</f>
        <v>80.400000000000006</v>
      </c>
      <c r="E264" s="350">
        <f>Лист1!H35</f>
        <v>28</v>
      </c>
      <c r="F264" s="417">
        <f t="shared" si="28"/>
        <v>2251.2000000000003</v>
      </c>
    </row>
    <row r="265" spans="1:6" x14ac:dyDescent="0.25">
      <c r="A265" s="275" t="str">
        <f>'работа 3 добр'!A261</f>
        <v>пугнп 2*2,5</v>
      </c>
      <c r="B265" s="185" t="s">
        <v>93</v>
      </c>
      <c r="C265" s="242"/>
      <c r="D265" s="185">
        <f>PRODUCT(Лист1!G36,$A$211)</f>
        <v>80.400000000000006</v>
      </c>
      <c r="E265" s="350">
        <f>Лист1!H36</f>
        <v>43</v>
      </c>
      <c r="F265" s="417">
        <f t="shared" si="28"/>
        <v>3457.2000000000003</v>
      </c>
    </row>
    <row r="266" spans="1:6" x14ac:dyDescent="0.25">
      <c r="A266" s="275" t="str">
        <f>'работа 3 добр'!A262</f>
        <v>зажимы</v>
      </c>
      <c r="B266" s="185" t="s">
        <v>93</v>
      </c>
      <c r="C266" s="242"/>
      <c r="D266" s="185">
        <f>PRODUCT(Лист1!G37,$A$211)</f>
        <v>2.0100000000000002</v>
      </c>
      <c r="E266" s="350">
        <f>Лист1!H37</f>
        <v>50</v>
      </c>
      <c r="F266" s="417">
        <f t="shared" si="28"/>
        <v>100.50000000000001</v>
      </c>
    </row>
    <row r="267" spans="1:6" x14ac:dyDescent="0.25">
      <c r="A267" s="275" t="str">
        <f>'работа 3 добр'!A263</f>
        <v>коробка установочная</v>
      </c>
      <c r="B267" s="185" t="s">
        <v>93</v>
      </c>
      <c r="C267" s="242"/>
      <c r="D267" s="185">
        <f>PRODUCT(Лист1!G38,$A$211)</f>
        <v>4.0200000000000005</v>
      </c>
      <c r="E267" s="350">
        <f>Лист1!H38</f>
        <v>15</v>
      </c>
      <c r="F267" s="417">
        <f t="shared" si="28"/>
        <v>60.300000000000004</v>
      </c>
    </row>
    <row r="268" spans="1:6" x14ac:dyDescent="0.25">
      <c r="A268" s="275" t="str">
        <f>'работа 3 добр'!A264</f>
        <v>розетка</v>
      </c>
      <c r="B268" s="185" t="s">
        <v>93</v>
      </c>
      <c r="C268" s="242"/>
      <c r="D268" s="185">
        <f>PRODUCT(Лист1!G39,$A$211)</f>
        <v>4.0200000000000005</v>
      </c>
      <c r="E268" s="350">
        <f>Лист1!H39</f>
        <v>219</v>
      </c>
      <c r="F268" s="417">
        <f t="shared" si="28"/>
        <v>880.38000000000011</v>
      </c>
    </row>
    <row r="269" spans="1:6" x14ac:dyDescent="0.25">
      <c r="A269" s="275" t="str">
        <f>'работа 3 добр'!A265</f>
        <v>розетка</v>
      </c>
      <c r="B269" s="185" t="s">
        <v>93</v>
      </c>
      <c r="C269" s="286"/>
      <c r="D269" s="185">
        <f>PRODUCT(Лист1!G40,$A$211)</f>
        <v>2.0100000000000002</v>
      </c>
      <c r="E269" s="350">
        <f>Лист1!H40</f>
        <v>163</v>
      </c>
      <c r="F269" s="417">
        <f t="shared" ref="F269:F312" si="29">D269*E269</f>
        <v>327.63000000000005</v>
      </c>
    </row>
    <row r="270" spans="1:6" x14ac:dyDescent="0.25">
      <c r="A270" s="275" t="str">
        <f>'работа 3 добр'!A266</f>
        <v>вилка прямая</v>
      </c>
      <c r="B270" s="185" t="s">
        <v>93</v>
      </c>
      <c r="C270" s="286"/>
      <c r="D270" s="185">
        <f>PRODUCT(Лист1!G41,$A$211)</f>
        <v>0.40200000000000002</v>
      </c>
      <c r="E270" s="350">
        <f>Лист1!H41</f>
        <v>180</v>
      </c>
      <c r="F270" s="417">
        <f t="shared" si="29"/>
        <v>72.36</v>
      </c>
    </row>
    <row r="271" spans="1:6" x14ac:dyDescent="0.25">
      <c r="A271" s="275" t="str">
        <f>'работа 3 добр'!A267</f>
        <v>вилка белая</v>
      </c>
      <c r="B271" s="185" t="s">
        <v>93</v>
      </c>
      <c r="C271" s="286"/>
      <c r="D271" s="185">
        <f>PRODUCT(Лист1!G42,$A$211)</f>
        <v>1.6080000000000001</v>
      </c>
      <c r="E271" s="350">
        <f>Лист1!H42</f>
        <v>90</v>
      </c>
      <c r="F271" s="417">
        <f t="shared" si="29"/>
        <v>144.72</v>
      </c>
    </row>
    <row r="272" spans="1:6" x14ac:dyDescent="0.25">
      <c r="A272" s="275" t="str">
        <f>'работа 3 добр'!A268</f>
        <v>саморез 3,5*51</v>
      </c>
      <c r="B272" s="185" t="s">
        <v>93</v>
      </c>
      <c r="C272" s="286"/>
      <c r="D272" s="185">
        <f>PRODUCT(Лист1!G43,$A$211)</f>
        <v>293.46000000000004</v>
      </c>
      <c r="E272" s="350">
        <f>Лист1!H43</f>
        <v>1</v>
      </c>
      <c r="F272" s="417">
        <f t="shared" si="29"/>
        <v>293.46000000000004</v>
      </c>
    </row>
    <row r="273" spans="1:6" x14ac:dyDescent="0.25">
      <c r="A273" s="275" t="str">
        <f>'работа 3 добр'!A269</f>
        <v>саморез 4,2*70</v>
      </c>
      <c r="B273" s="185" t="s">
        <v>93</v>
      </c>
      <c r="C273" s="286"/>
      <c r="D273" s="185">
        <f>PRODUCT(Лист1!G44,$A$211)</f>
        <v>361.8</v>
      </c>
      <c r="E273" s="350">
        <f>Лист1!H44</f>
        <v>1.5</v>
      </c>
      <c r="F273" s="417">
        <f t="shared" si="29"/>
        <v>542.70000000000005</v>
      </c>
    </row>
    <row r="274" spans="1:6" x14ac:dyDescent="0.25">
      <c r="A274" s="275" t="str">
        <f>'работа 3 добр'!A270</f>
        <v>набор пилок</v>
      </c>
      <c r="B274" s="185" t="s">
        <v>93</v>
      </c>
      <c r="C274" s="286"/>
      <c r="D274" s="185">
        <f>PRODUCT(Лист1!G45,$A$211)</f>
        <v>1.206</v>
      </c>
      <c r="E274" s="350">
        <f>Лист1!H45</f>
        <v>200</v>
      </c>
      <c r="F274" s="417">
        <f t="shared" si="29"/>
        <v>241.2</v>
      </c>
    </row>
    <row r="275" spans="1:6" x14ac:dyDescent="0.25">
      <c r="A275" s="275" t="str">
        <f>'работа 3 добр'!A271</f>
        <v>комплект радиатора</v>
      </c>
      <c r="B275" s="185" t="s">
        <v>93</v>
      </c>
      <c r="C275" s="286"/>
      <c r="D275" s="185">
        <f>PRODUCT(Лист1!G46,$A$211)</f>
        <v>4.0200000000000005</v>
      </c>
      <c r="E275" s="350">
        <f>Лист1!H46</f>
        <v>279</v>
      </c>
      <c r="F275" s="417">
        <f t="shared" si="29"/>
        <v>1121.5800000000002</v>
      </c>
    </row>
    <row r="276" spans="1:6" x14ac:dyDescent="0.25">
      <c r="A276" s="275" t="str">
        <f>'работа 3 добр'!A272</f>
        <v>кран шаровый</v>
      </c>
      <c r="B276" s="185" t="s">
        <v>93</v>
      </c>
      <c r="C276" s="286"/>
      <c r="D276" s="185">
        <f>PRODUCT(Лист1!G47,$A$211)</f>
        <v>8.0400000000000009</v>
      </c>
      <c r="E276" s="350">
        <f>Лист1!H47</f>
        <v>950</v>
      </c>
      <c r="F276" s="417">
        <f t="shared" si="29"/>
        <v>7638.0000000000009</v>
      </c>
    </row>
    <row r="277" spans="1:6" x14ac:dyDescent="0.25">
      <c r="A277" s="275" t="str">
        <f>'работа 3 добр'!A273</f>
        <v>Лопата</v>
      </c>
      <c r="B277" s="185" t="s">
        <v>93</v>
      </c>
      <c r="C277" s="286"/>
      <c r="D277" s="185">
        <f>PRODUCT(Лист1!G48,$A$211)</f>
        <v>0.40200000000000002</v>
      </c>
      <c r="E277" s="350">
        <f>Лист1!H48</f>
        <v>1430</v>
      </c>
      <c r="F277" s="417">
        <f t="shared" si="29"/>
        <v>574.86</v>
      </c>
    </row>
    <row r="278" spans="1:6" x14ac:dyDescent="0.25">
      <c r="A278" s="275" t="str">
        <f>'работа 3 добр'!A274</f>
        <v>Пружина</v>
      </c>
      <c r="B278" s="185" t="s">
        <v>93</v>
      </c>
      <c r="C278" s="286"/>
      <c r="D278" s="185">
        <f>PRODUCT(Лист1!G49,$A$211)</f>
        <v>10.050000000000001</v>
      </c>
      <c r="E278" s="350">
        <f>Лист1!H49</f>
        <v>55</v>
      </c>
      <c r="F278" s="417">
        <f t="shared" si="29"/>
        <v>552.75</v>
      </c>
    </row>
    <row r="279" spans="1:6" x14ac:dyDescent="0.25">
      <c r="A279" s="275" t="str">
        <f>'работа 3 добр'!A275</f>
        <v>ГСМ 12,1457л.*247дней*44,27 руб.</v>
      </c>
      <c r="B279" s="185" t="s">
        <v>93</v>
      </c>
      <c r="C279" s="286"/>
      <c r="D279" s="185">
        <f>PRODUCT(Лист1!G50,$A$211)</f>
        <v>497.73228</v>
      </c>
      <c r="E279" s="350">
        <f>Лист1!H50</f>
        <v>50</v>
      </c>
      <c r="F279" s="417">
        <f t="shared" si="29"/>
        <v>24886.614000000001</v>
      </c>
    </row>
    <row r="280" spans="1:6" x14ac:dyDescent="0.25">
      <c r="A280" s="275" t="str">
        <f>'работа 3 добр'!A276</f>
        <v>Чехол для кресла-мешка</v>
      </c>
      <c r="B280" s="185" t="s">
        <v>93</v>
      </c>
      <c r="C280" s="286"/>
      <c r="D280" s="185">
        <f>PRODUCT(Лист1!G51,$A$211)</f>
        <v>2.4119999999999999</v>
      </c>
      <c r="E280" s="350">
        <f>Лист1!H51</f>
        <v>2000</v>
      </c>
      <c r="F280" s="417">
        <f t="shared" si="29"/>
        <v>4824</v>
      </c>
    </row>
    <row r="281" spans="1:6" x14ac:dyDescent="0.25">
      <c r="A281" s="275" t="str">
        <f>'работа 3 добр'!A277</f>
        <v>Наполнитель для кресла-мешка</v>
      </c>
      <c r="B281" s="185" t="s">
        <v>93</v>
      </c>
      <c r="C281" s="286"/>
      <c r="D281" s="185">
        <f>PRODUCT(Лист1!G52,$A$211)</f>
        <v>0.80400000000000005</v>
      </c>
      <c r="E281" s="350">
        <f>Лист1!H52</f>
        <v>1500</v>
      </c>
      <c r="F281" s="417">
        <f t="shared" si="29"/>
        <v>1206</v>
      </c>
    </row>
    <row r="282" spans="1:6" x14ac:dyDescent="0.25">
      <c r="A282" s="275" t="str">
        <f>'работа 3 добр'!A278</f>
        <v>Фотобумага IST глянцевая 100 листов односторонняя 230гр/м</v>
      </c>
      <c r="B282" s="185" t="s">
        <v>93</v>
      </c>
      <c r="C282" s="286"/>
      <c r="D282" s="185">
        <f>PRODUCT(Лист1!G53,$A$211)</f>
        <v>4.0200000000000005</v>
      </c>
      <c r="E282" s="350">
        <f>Лист1!H53</f>
        <v>900</v>
      </c>
      <c r="F282" s="417">
        <f t="shared" si="29"/>
        <v>3618.0000000000005</v>
      </c>
    </row>
    <row r="283" spans="1:6" x14ac:dyDescent="0.25">
      <c r="A283" s="275" t="str">
        <f>'работа 3 добр'!A279</f>
        <v>Фотобумага IST глянцевая 100 листов односторонняя 180гр/м</v>
      </c>
      <c r="B283" s="185" t="s">
        <v>93</v>
      </c>
      <c r="C283" s="286"/>
      <c r="D283" s="185">
        <f>PRODUCT(Лист1!G54,$A$211)</f>
        <v>4.0200000000000005</v>
      </c>
      <c r="E283" s="350">
        <f>Лист1!H54</f>
        <v>700</v>
      </c>
      <c r="F283" s="417">
        <f t="shared" si="29"/>
        <v>2814.0000000000005</v>
      </c>
    </row>
    <row r="284" spans="1:6" x14ac:dyDescent="0.25">
      <c r="A284" s="275" t="str">
        <f>'работа 3 добр'!A280</f>
        <v>Фотобумага IST глянцевая 100 листов односторонняя 190гр/м</v>
      </c>
      <c r="B284" s="185" t="s">
        <v>93</v>
      </c>
      <c r="C284" s="286"/>
      <c r="D284" s="185">
        <f>PRODUCT(Лист1!G55,$A$211)</f>
        <v>8.0400000000000009</v>
      </c>
      <c r="E284" s="350">
        <f>Лист1!H55</f>
        <v>350</v>
      </c>
      <c r="F284" s="417">
        <f t="shared" si="29"/>
        <v>2814.0000000000005</v>
      </c>
    </row>
    <row r="285" spans="1:6" x14ac:dyDescent="0.25">
      <c r="A285" s="275" t="str">
        <f>'работа 3 добр'!A281</f>
        <v>Тонер ECOSYS</v>
      </c>
      <c r="B285" s="185" t="s">
        <v>93</v>
      </c>
      <c r="C285" s="286"/>
      <c r="D285" s="185">
        <f>PRODUCT(Лист1!G56,$A$211)</f>
        <v>0.80400000000000005</v>
      </c>
      <c r="E285" s="350">
        <f>Лист1!H56</f>
        <v>1500</v>
      </c>
      <c r="F285" s="417">
        <f t="shared" si="29"/>
        <v>1206</v>
      </c>
    </row>
    <row r="286" spans="1:6" x14ac:dyDescent="0.25">
      <c r="A286" s="275" t="str">
        <f>'работа 3 добр'!A282</f>
        <v>Картридж НР С2Р42АЕ</v>
      </c>
      <c r="B286" s="185" t="s">
        <v>93</v>
      </c>
      <c r="C286" s="286"/>
      <c r="D286" s="185">
        <f>PRODUCT(Лист1!G57,$A$211)</f>
        <v>0.80400000000000005</v>
      </c>
      <c r="E286" s="350">
        <f>Лист1!H57</f>
        <v>4800</v>
      </c>
      <c r="F286" s="417">
        <f t="shared" si="29"/>
        <v>3859.2000000000003</v>
      </c>
    </row>
    <row r="287" spans="1:6" x14ac:dyDescent="0.25">
      <c r="A287" s="275" t="str">
        <f>'работа 3 добр'!A283</f>
        <v>Аккумулятор X-TREME Arctik  78.1</v>
      </c>
      <c r="B287" s="185" t="s">
        <v>93</v>
      </c>
      <c r="C287" s="286"/>
      <c r="D287" s="185">
        <f>PRODUCT(Лист1!G58,$A$211)</f>
        <v>0.40200000000000002</v>
      </c>
      <c r="E287" s="350">
        <f>Лист1!H58</f>
        <v>6900</v>
      </c>
      <c r="F287" s="417">
        <f t="shared" si="29"/>
        <v>2773.8</v>
      </c>
    </row>
    <row r="288" spans="1:6" x14ac:dyDescent="0.25">
      <c r="A288" s="275" t="str">
        <f>'работа 3 добр'!A284</f>
        <v>Амортизатор УАЗ 3159 задн. TRIALLI газомасл.3159-2915006 (3159-2915006)</v>
      </c>
      <c r="B288" s="185" t="s">
        <v>93</v>
      </c>
      <c r="C288" s="286"/>
      <c r="D288" s="185">
        <f>PRODUCT(Лист1!G59,$A$211)</f>
        <v>1.6080000000000001</v>
      </c>
      <c r="E288" s="350">
        <f>Лист1!H59</f>
        <v>1560</v>
      </c>
      <c r="F288" s="417">
        <f t="shared" si="29"/>
        <v>2508.48</v>
      </c>
    </row>
    <row r="289" spans="1:6" x14ac:dyDescent="0.25">
      <c r="A289" s="275" t="str">
        <f>'работа 3 добр'!A285</f>
        <v>Болт М10*1*25 кардана УАЗ в/сб(уп. 20 шт)</v>
      </c>
      <c r="B289" s="185" t="s">
        <v>93</v>
      </c>
      <c r="C289" s="286"/>
      <c r="D289" s="185">
        <f>PRODUCT(Лист1!G60,$A$211)</f>
        <v>6.4320000000000004</v>
      </c>
      <c r="E289" s="350">
        <f>Лист1!H60</f>
        <v>20</v>
      </c>
      <c r="F289" s="417">
        <f t="shared" si="29"/>
        <v>128.64000000000001</v>
      </c>
    </row>
    <row r="290" spans="1:6" x14ac:dyDescent="0.25">
      <c r="A290" s="275" t="str">
        <f>'работа 3 добр'!A286</f>
        <v>Винт М8*1,25*12 потай шлиц.торм.барабана Волга Г-2410 290605 (290605-п29)</v>
      </c>
      <c r="B290" s="185" t="s">
        <v>93</v>
      </c>
      <c r="C290" s="286"/>
      <c r="D290" s="185">
        <f>PRODUCT(Лист1!G61,$A$211)</f>
        <v>9.6479999999999997</v>
      </c>
      <c r="E290" s="350">
        <f>Лист1!H61</f>
        <v>12</v>
      </c>
      <c r="F290" s="417">
        <f t="shared" si="29"/>
        <v>115.776</v>
      </c>
    </row>
    <row r="291" spans="1:6" x14ac:dyDescent="0.25">
      <c r="A291" s="275" t="str">
        <f>'работа 3 добр'!A287</f>
        <v>Вкладыш шкворня УАЗ-3160(латунь н/о 2 усика)3160 2304023-10 (3160 2304023-10)</v>
      </c>
      <c r="B291" s="185" t="s">
        <v>93</v>
      </c>
      <c r="C291" s="286"/>
      <c r="D291" s="185">
        <f>PRODUCT(Лист1!G62,$A$211)</f>
        <v>3.2160000000000002</v>
      </c>
      <c r="E291" s="350">
        <f>Лист1!H62</f>
        <v>50</v>
      </c>
      <c r="F291" s="417">
        <f t="shared" si="29"/>
        <v>160.80000000000001</v>
      </c>
    </row>
    <row r="292" spans="1:6" x14ac:dyDescent="0.25">
      <c r="A292" s="275" t="str">
        <f>'работа 3 добр'!A288</f>
        <v>Втулка амортизатора Волга ,УАЗ полиуретан 451-2905432 (451-2905432)</v>
      </c>
      <c r="B292" s="185" t="s">
        <v>93</v>
      </c>
      <c r="C292" s="286"/>
      <c r="D292" s="185">
        <f>PRODUCT(Лист1!G63,$A$211)</f>
        <v>8.0400000000000009</v>
      </c>
      <c r="E292" s="350">
        <f>Лист1!H63</f>
        <v>36</v>
      </c>
      <c r="F292" s="417">
        <f t="shared" si="29"/>
        <v>289.44000000000005</v>
      </c>
    </row>
    <row r="293" spans="1:6" x14ac:dyDescent="0.25">
      <c r="A293" s="275" t="str">
        <f>'работа 3 добр'!A289</f>
        <v>Гайка колесная  М14*1,5 (18, ключ 22) Волга, Соболь, УАЗ</v>
      </c>
      <c r="B293" s="185" t="s">
        <v>93</v>
      </c>
      <c r="C293" s="286"/>
      <c r="D293" s="185">
        <f>PRODUCT(Лист1!G64,$A$211)</f>
        <v>8.0400000000000009</v>
      </c>
      <c r="E293" s="350">
        <f>Лист1!H64</f>
        <v>18</v>
      </c>
      <c r="F293" s="417">
        <f t="shared" si="29"/>
        <v>144.72000000000003</v>
      </c>
    </row>
    <row r="294" spans="1:6" x14ac:dyDescent="0.25">
      <c r="A294" s="275" t="str">
        <f>'работа 3 добр'!A290</f>
        <v>Катушка зажигания 405 дв.(АТЭ-1)3032.3705 (3032.3705)</v>
      </c>
      <c r="B294" s="185" t="s">
        <v>93</v>
      </c>
      <c r="C294" s="286"/>
      <c r="D294" s="185">
        <f>PRODUCT(Лист1!G65,$A$211)</f>
        <v>1.6080000000000001</v>
      </c>
      <c r="E294" s="350">
        <f>Лист1!H65</f>
        <v>875</v>
      </c>
      <c r="F294" s="417">
        <f t="shared" si="29"/>
        <v>1407</v>
      </c>
    </row>
    <row r="295" spans="1:6" ht="30" x14ac:dyDescent="0.25">
      <c r="A295" s="275" t="str">
        <f>'работа 3 добр'!A291</f>
        <v>Колодка переднего тормоза (к-т 4 шт.)УАЗ Оригинал(ТИИР) 3163 3501088 (3163 3501088)</v>
      </c>
      <c r="B295" s="185" t="s">
        <v>93</v>
      </c>
      <c r="C295" s="286"/>
      <c r="D295" s="185">
        <f>PRODUCT(Лист1!G66,$A$211)</f>
        <v>1.6080000000000001</v>
      </c>
      <c r="E295" s="350">
        <f>Лист1!H66</f>
        <v>672</v>
      </c>
      <c r="F295" s="417">
        <f t="shared" si="29"/>
        <v>1080.576</v>
      </c>
    </row>
    <row r="296" spans="1:6" x14ac:dyDescent="0.25">
      <c r="A296" s="275" t="str">
        <f>'работа 3 добр'!A292</f>
        <v>Кольцо крестовины карданного вала</v>
      </c>
      <c r="B296" s="185" t="s">
        <v>93</v>
      </c>
      <c r="C296" s="286"/>
      <c r="D296" s="185">
        <f>PRODUCT(Лист1!G67,$A$211)</f>
        <v>3.2160000000000002</v>
      </c>
      <c r="E296" s="350">
        <f>Лист1!H67</f>
        <v>10</v>
      </c>
      <c r="F296" s="417">
        <f t="shared" si="29"/>
        <v>32.160000000000004</v>
      </c>
    </row>
    <row r="297" spans="1:6" ht="30" x14ac:dyDescent="0.25">
      <c r="A297" s="275" t="str">
        <f>'работа 3 добр'!A293</f>
        <v>Комплект ГРМ(полный)ЗМЗ 405-409 ЕВРО-3 "Идеальная фаза"(двухрядная цепь 72/92 Ditton)406.3906625-05 (406.3906625-05)</v>
      </c>
      <c r="B297" s="185" t="s">
        <v>93</v>
      </c>
      <c r="C297" s="286"/>
      <c r="D297" s="185">
        <f>PRODUCT(Лист1!G68,$A$211)</f>
        <v>0.40200000000000002</v>
      </c>
      <c r="E297" s="350">
        <f>Лист1!H68</f>
        <v>6377</v>
      </c>
      <c r="F297" s="417">
        <f t="shared" si="29"/>
        <v>2563.5540000000001</v>
      </c>
    </row>
    <row r="298" spans="1:6" x14ac:dyDescent="0.25">
      <c r="A298" s="275" t="str">
        <f>'работа 3 добр'!A294</f>
        <v>Комплект прокладок на дв.4091 Саморим УАЗ 452</v>
      </c>
      <c r="B298" s="185" t="s">
        <v>93</v>
      </c>
      <c r="C298" s="286"/>
      <c r="D298" s="185">
        <f>PRODUCT(Лист1!G69,$A$211)</f>
        <v>0.40200000000000002</v>
      </c>
      <c r="E298" s="350">
        <f>Лист1!H69</f>
        <v>1037</v>
      </c>
      <c r="F298" s="417">
        <f t="shared" si="29"/>
        <v>416.87400000000002</v>
      </c>
    </row>
    <row r="299" spans="1:6" ht="30" x14ac:dyDescent="0.25">
      <c r="A299" s="275" t="str">
        <f>'работа 3 добр'!A295</f>
        <v>Крестовина кардан.вала УАЗ(АДС)с масленкой и стопорными кольцами 42000.0469-2201025-00 (ВК469-2201025)</v>
      </c>
      <c r="B299" s="185" t="s">
        <v>93</v>
      </c>
      <c r="C299" s="286"/>
      <c r="D299" s="185">
        <f>PRODUCT(Лист1!G70,$A$211)</f>
        <v>1.6080000000000001</v>
      </c>
      <c r="E299" s="350">
        <f>Лист1!H70</f>
        <v>570</v>
      </c>
      <c r="F299" s="417">
        <f t="shared" si="29"/>
        <v>916.56000000000006</v>
      </c>
    </row>
    <row r="300" spans="1:6" x14ac:dyDescent="0.25">
      <c r="A300" s="275" t="str">
        <f>'работа 3 добр'!A296</f>
        <v>Накладка педали сцепления УАЗ 2206</v>
      </c>
      <c r="B300" s="185" t="s">
        <v>93</v>
      </c>
      <c r="C300" s="286"/>
      <c r="D300" s="185">
        <f>PRODUCT(Лист1!G71,$A$211)</f>
        <v>0.40200000000000002</v>
      </c>
      <c r="E300" s="350">
        <f>Лист1!H71</f>
        <v>29</v>
      </c>
      <c r="F300" s="417">
        <f t="shared" si="29"/>
        <v>11.658000000000001</v>
      </c>
    </row>
    <row r="301" spans="1:6" x14ac:dyDescent="0.25">
      <c r="A301" s="275" t="str">
        <f>'работа 3 добр'!A297</f>
        <v>Наконечник рулевой тяги левый "АДС-Expert" 469-3414057-01 (469-3414057-01)</v>
      </c>
      <c r="B301" s="185" t="s">
        <v>93</v>
      </c>
      <c r="C301" s="286"/>
      <c r="D301" s="185">
        <f>PRODUCT(Лист1!G72,$A$211)</f>
        <v>0.80400000000000005</v>
      </c>
      <c r="E301" s="350">
        <f>Лист1!H72</f>
        <v>450</v>
      </c>
      <c r="F301" s="417">
        <f t="shared" si="29"/>
        <v>361.8</v>
      </c>
    </row>
    <row r="302" spans="1:6" x14ac:dyDescent="0.25">
      <c r="A302" s="275" t="str">
        <f>'работа 3 добр'!A298</f>
        <v>Наконечник рулевой тяги правый "АДС-Expert" 469-3414056-01 (469-3414056-01)</v>
      </c>
      <c r="B302" s="185" t="s">
        <v>93</v>
      </c>
      <c r="C302" s="286"/>
      <c r="D302" s="185">
        <f>PRODUCT(Лист1!G73,$A$211)</f>
        <v>2.4119999999999999</v>
      </c>
      <c r="E302" s="350">
        <f>Лист1!H73</f>
        <v>450</v>
      </c>
      <c r="F302" s="417">
        <f t="shared" si="29"/>
        <v>1085.3999999999999</v>
      </c>
    </row>
    <row r="303" spans="1:6" x14ac:dyDescent="0.25">
      <c r="A303" s="275" t="str">
        <f>'работа 3 добр'!A299</f>
        <v>Патрубки радиатора УАЗ Патриот 409дв.без кондиционера(силикон)(к-т 3шт)</v>
      </c>
      <c r="B303" s="185" t="s">
        <v>93</v>
      </c>
      <c r="C303" s="286"/>
      <c r="D303" s="185">
        <f>PRODUCT(Лист1!G74,$A$211)</f>
        <v>0.40200000000000002</v>
      </c>
      <c r="E303" s="350">
        <f>Лист1!H74</f>
        <v>1920</v>
      </c>
      <c r="F303" s="417">
        <f t="shared" si="29"/>
        <v>771.84</v>
      </c>
    </row>
    <row r="304" spans="1:6" x14ac:dyDescent="0.25">
      <c r="A304" s="275" t="str">
        <f>'работа 3 добр'!A300</f>
        <v>Подшипник ступичный 127509</v>
      </c>
      <c r="B304" s="185" t="s">
        <v>93</v>
      </c>
      <c r="C304" s="286"/>
      <c r="D304" s="185">
        <f>PRODUCT(Лист1!G75,$A$211)</f>
        <v>3.2160000000000002</v>
      </c>
      <c r="E304" s="350">
        <f>Лист1!H75</f>
        <v>592</v>
      </c>
      <c r="F304" s="417">
        <f t="shared" si="29"/>
        <v>1903.8720000000001</v>
      </c>
    </row>
    <row r="305" spans="1:6" x14ac:dyDescent="0.25">
      <c r="A305" s="275" t="str">
        <f>'работа 3 добр'!A301</f>
        <v>Провода в/в 4091 дв.с наконеч.силикон.4091-3707244 (4091-3707244)</v>
      </c>
      <c r="B305" s="185" t="s">
        <v>93</v>
      </c>
      <c r="C305" s="286"/>
      <c r="D305" s="185">
        <f>PRODUCT(Лист1!G76,$A$211)</f>
        <v>0.80400000000000005</v>
      </c>
      <c r="E305" s="350">
        <f>Лист1!H76</f>
        <v>1025</v>
      </c>
      <c r="F305" s="417">
        <f t="shared" si="29"/>
        <v>824.1</v>
      </c>
    </row>
    <row r="306" spans="1:6" x14ac:dyDescent="0.25">
      <c r="A306" s="275" t="str">
        <f>'работа 3 добр'!A302</f>
        <v>Прокладка крышки полуоси(паронит)3151-2407048 (3151-2407048)</v>
      </c>
      <c r="B306" s="185" t="s">
        <v>93</v>
      </c>
      <c r="C306" s="286"/>
      <c r="D306" s="185">
        <f>PRODUCT(Лист1!G77,$A$211)</f>
        <v>4.0200000000000005</v>
      </c>
      <c r="E306" s="350">
        <f>Лист1!H77</f>
        <v>15</v>
      </c>
      <c r="F306" s="417">
        <f t="shared" si="29"/>
        <v>60.300000000000004</v>
      </c>
    </row>
    <row r="307" spans="1:6" ht="30" x14ac:dyDescent="0.25">
      <c r="A307" s="275" t="str">
        <f>'работа 3 добр'!A303</f>
        <v>Ремень (1275  мм 6РК) ЗМЗ-40524, 40525 ЕВРО -3 без ГУР "LUZAR" (40624 1308020-01)</v>
      </c>
      <c r="B307" s="185" t="s">
        <v>93</v>
      </c>
      <c r="C307" s="286"/>
      <c r="D307" s="185">
        <f>PRODUCT(Лист1!G78,$A$211)</f>
        <v>1.206</v>
      </c>
      <c r="E307" s="350">
        <f>Лист1!H78</f>
        <v>467</v>
      </c>
      <c r="F307" s="417">
        <f t="shared" si="29"/>
        <v>563.202</v>
      </c>
    </row>
    <row r="308" spans="1:6" ht="30" x14ac:dyDescent="0.25">
      <c r="A308" s="275" t="str">
        <f>'работа 3 добр'!A304</f>
        <v>Ремень 1195 - 6 РК привода ГУР "OLEX POLY V BELT"3163-00-1308020-02 (3163-00-1308020-02)</v>
      </c>
      <c r="B308" s="185" t="s">
        <v>93</v>
      </c>
      <c r="C308" s="286"/>
      <c r="D308" s="185">
        <f>PRODUCT(Лист1!G79,$A$211)</f>
        <v>1.206</v>
      </c>
      <c r="E308" s="350">
        <f>Лист1!H79</f>
        <v>285</v>
      </c>
      <c r="F308" s="417">
        <f t="shared" si="29"/>
        <v>343.71</v>
      </c>
    </row>
    <row r="309" spans="1:6" x14ac:dyDescent="0.25">
      <c r="A309" s="275" t="str">
        <f>'работа 3 добр'!A305</f>
        <v>Ремень буксировочный 6/9т 6м (а/м до 3т)  Крюк/Крюк +сумка(олива) Tplus</v>
      </c>
      <c r="B309" s="185" t="s">
        <v>93</v>
      </c>
      <c r="C309" s="286"/>
      <c r="D309" s="185">
        <f>PRODUCT(Лист1!G80,$A$211)</f>
        <v>0.40200000000000002</v>
      </c>
      <c r="E309" s="350">
        <f>Лист1!H80</f>
        <v>1260</v>
      </c>
      <c r="F309" s="417">
        <f t="shared" si="29"/>
        <v>506.52000000000004</v>
      </c>
    </row>
    <row r="310" spans="1:6" ht="30" x14ac:dyDescent="0.25">
      <c r="A310" s="275" t="str">
        <f>'работа 3 добр'!A306</f>
        <v>Ремкомплект поворотного кулака УАЗ мост Спайсер с полиуретановым сальником 3160-2304052 (3160-2304052)</v>
      </c>
      <c r="B310" s="185" t="s">
        <v>93</v>
      </c>
      <c r="C310" s="286"/>
      <c r="D310" s="185">
        <f>PRODUCT(Лист1!G81,$A$211)</f>
        <v>1.6080000000000001</v>
      </c>
      <c r="E310" s="350">
        <f>Лист1!H81</f>
        <v>191</v>
      </c>
      <c r="F310" s="417">
        <f t="shared" si="29"/>
        <v>307.12800000000004</v>
      </c>
    </row>
    <row r="311" spans="1:6" ht="30" x14ac:dyDescent="0.25">
      <c r="A311" s="275" t="str">
        <f>'работа 3 добр'!A307</f>
        <v>Ремкомплект шкворня УАЗ Хантер,Патриот мост Спайсер н/о(2 уса) с вкладышами)"Ваксойл"3163-230401 (3163-230401)</v>
      </c>
      <c r="B311" s="185" t="s">
        <v>93</v>
      </c>
      <c r="C311" s="286"/>
      <c r="D311" s="185">
        <f>PRODUCT(Лист1!G82,$A$211)</f>
        <v>0.80400000000000005</v>
      </c>
      <c r="E311" s="350">
        <f>Лист1!H82</f>
        <v>2845</v>
      </c>
      <c r="F311" s="417">
        <f t="shared" si="29"/>
        <v>2287.38</v>
      </c>
    </row>
    <row r="312" spans="1:6" ht="30" x14ac:dyDescent="0.25">
      <c r="A312" s="275" t="str">
        <f>'работа 3 добр'!A308</f>
        <v>Сайлентблок передней подвески УАЗ резинометаллический (малый) 3160-2909027 (3160-2909027)</v>
      </c>
      <c r="B312" s="185" t="s">
        <v>93</v>
      </c>
      <c r="C312" s="286"/>
      <c r="D312" s="185">
        <f>PRODUCT(Лист1!G83,$A$211)</f>
        <v>2.4119999999999999</v>
      </c>
      <c r="E312" s="350">
        <f>Лист1!H83</f>
        <v>405</v>
      </c>
      <c r="F312" s="417">
        <f t="shared" si="29"/>
        <v>976.86</v>
      </c>
    </row>
    <row r="313" spans="1:6" x14ac:dyDescent="0.25">
      <c r="A313" s="275" t="str">
        <f>'работа 3 добр'!A309</f>
        <v>Сайлентблок рессоры УАЗ-Патриот 3163(завод)3163-2912020 (3163-2912020)</v>
      </c>
      <c r="B313" s="185" t="s">
        <v>93</v>
      </c>
      <c r="C313" s="286"/>
      <c r="D313" s="185">
        <f>PRODUCT(Лист1!G84,$A$211)</f>
        <v>3.2160000000000002</v>
      </c>
      <c r="E313" s="350">
        <f>Лист1!H84</f>
        <v>288</v>
      </c>
      <c r="F313" s="417">
        <f t="shared" ref="F313:F376" si="30">D313*E313</f>
        <v>926.20800000000008</v>
      </c>
    </row>
    <row r="314" spans="1:6" ht="30" x14ac:dyDescent="0.25">
      <c r="A314" s="275" t="str">
        <f>'работа 3 добр'!A310</f>
        <v>Сальник (55х70х8) коленвала передний 406дв."Кортеко"(Германия)406.1005034-02 (406.1005034-02)</v>
      </c>
      <c r="B314" s="185" t="s">
        <v>93</v>
      </c>
      <c r="C314" s="286"/>
      <c r="D314" s="185">
        <f>PRODUCT(Лист1!G85,$A$211)</f>
        <v>0.80400000000000005</v>
      </c>
      <c r="E314" s="350">
        <f>Лист1!H85</f>
        <v>198</v>
      </c>
      <c r="F314" s="417">
        <f t="shared" si="30"/>
        <v>159.19200000000001</v>
      </c>
    </row>
    <row r="315" spans="1:6" x14ac:dyDescent="0.25">
      <c r="A315" s="275" t="str">
        <f>'работа 3 добр'!A311</f>
        <v>Сальник (60х85х10) ступицы  NAK International 3741-3103038 (3741-3103038)</v>
      </c>
      <c r="B315" s="185" t="s">
        <v>93</v>
      </c>
      <c r="C315" s="286"/>
      <c r="D315" s="185">
        <f>PRODUCT(Лист1!G86,$A$211)</f>
        <v>9.6479999999999997</v>
      </c>
      <c r="E315" s="350">
        <f>Лист1!H86</f>
        <v>192</v>
      </c>
      <c r="F315" s="417">
        <f t="shared" si="30"/>
        <v>1852.4159999999999</v>
      </c>
    </row>
    <row r="316" spans="1:6" x14ac:dyDescent="0.25">
      <c r="A316" s="275" t="str">
        <f>'работа 3 добр'!A312</f>
        <v>Сальник к/вала задний 100л.с. 80х100х10(NAK intarnational)</v>
      </c>
      <c r="B316" s="185" t="s">
        <v>93</v>
      </c>
      <c r="C316" s="286"/>
      <c r="D316" s="185">
        <f>PRODUCT(Лист1!G87,$A$211)</f>
        <v>0.80400000000000005</v>
      </c>
      <c r="E316" s="350">
        <f>Лист1!H87</f>
        <v>187</v>
      </c>
      <c r="F316" s="417">
        <f t="shared" si="30"/>
        <v>150.34800000000001</v>
      </c>
    </row>
    <row r="317" spans="1:6" ht="30" x14ac:dyDescent="0.25">
      <c r="A317" s="275" t="str">
        <f>'работа 3 добр'!A313</f>
        <v>Сальник хвостовика 42х68х 10/14,5 усиленный "NAK"3741-00-1701210-03 (3741-00-1701210-03)</v>
      </c>
      <c r="B317" s="185" t="s">
        <v>93</v>
      </c>
      <c r="C317" s="286"/>
      <c r="D317" s="185">
        <f>PRODUCT(Лист1!G88,$A$211)</f>
        <v>3.2160000000000002</v>
      </c>
      <c r="E317" s="350">
        <f>Лист1!H88</f>
        <v>175</v>
      </c>
      <c r="F317" s="417">
        <f t="shared" si="30"/>
        <v>562.80000000000007</v>
      </c>
    </row>
    <row r="318" spans="1:6" x14ac:dyDescent="0.25">
      <c r="A318" s="275" t="str">
        <f>'работа 3 добр'!A314</f>
        <v>Сальник шруса (в мет. обойме)(32х50х10)(19000078)3741-2304071 (3741-2304071)</v>
      </c>
      <c r="B318" s="185" t="s">
        <v>93</v>
      </c>
      <c r="C318" s="286"/>
      <c r="D318" s="185">
        <f>PRODUCT(Лист1!G89,$A$211)</f>
        <v>1.6080000000000001</v>
      </c>
      <c r="E318" s="350">
        <f>Лист1!H89</f>
        <v>59</v>
      </c>
      <c r="F318" s="417">
        <f t="shared" si="30"/>
        <v>94.872</v>
      </c>
    </row>
    <row r="319" spans="1:6" x14ac:dyDescent="0.25">
      <c r="A319" s="275" t="str">
        <f>'работа 3 добр'!A315</f>
        <v>Свеча зажигания DENSO  Q16ТТ#4  4607#4 (1 шт.)</v>
      </c>
      <c r="B319" s="185" t="s">
        <v>93</v>
      </c>
      <c r="C319" s="286"/>
      <c r="D319" s="185">
        <f>PRODUCT(Лист1!G90,$A$211)</f>
        <v>3.2160000000000002</v>
      </c>
      <c r="E319" s="350">
        <f>Лист1!H90</f>
        <v>185</v>
      </c>
      <c r="F319" s="417">
        <f t="shared" si="30"/>
        <v>594.96</v>
      </c>
    </row>
    <row r="320" spans="1:6" x14ac:dyDescent="0.25">
      <c r="A320" s="275" t="str">
        <f>'работа 3 добр'!A316</f>
        <v>Скоба омегообр. с резьбой г/п 2,0т тип G 209 ХЛ</v>
      </c>
      <c r="B320" s="185" t="s">
        <v>93</v>
      </c>
      <c r="C320" s="286"/>
      <c r="D320" s="185">
        <f>PRODUCT(Лист1!G91,$A$211)</f>
        <v>0.40200000000000002</v>
      </c>
      <c r="E320" s="350">
        <f>Лист1!H91</f>
        <v>175</v>
      </c>
      <c r="F320" s="417">
        <f t="shared" si="30"/>
        <v>70.350000000000009</v>
      </c>
    </row>
    <row r="321" spans="1:6" x14ac:dyDescent="0.25">
      <c r="A321" s="275" t="str">
        <f>'работа 3 добр'!A317</f>
        <v>Строп динамический (рывковый) 6т,  9 м, серия "Стандарт" TPlus</v>
      </c>
      <c r="B321" s="185" t="s">
        <v>93</v>
      </c>
      <c r="C321" s="286"/>
      <c r="D321" s="185">
        <f>PRODUCT(Лист1!G92,$A$211)</f>
        <v>0.40200000000000002</v>
      </c>
      <c r="E321" s="350">
        <f>Лист1!H92</f>
        <v>1750</v>
      </c>
      <c r="F321" s="417">
        <f t="shared" si="30"/>
        <v>703.5</v>
      </c>
    </row>
    <row r="322" spans="1:6" ht="30" x14ac:dyDescent="0.25">
      <c r="A322" s="275" t="str">
        <f>'работа 3 добр'!A318</f>
        <v>Ступица заднего колеса УАЗ-3163(с имп.диском в сборе АБС)3163-3104006 (3163-3104006)</v>
      </c>
      <c r="B322" s="185" t="s">
        <v>93</v>
      </c>
      <c r="C322" s="286"/>
      <c r="D322" s="185">
        <f>PRODUCT(Лист1!G93,$A$211)</f>
        <v>0.40200000000000002</v>
      </c>
      <c r="E322" s="350">
        <f>Лист1!H93</f>
        <v>4460</v>
      </c>
      <c r="F322" s="417">
        <f t="shared" si="30"/>
        <v>1792.92</v>
      </c>
    </row>
    <row r="323" spans="1:6" ht="30" x14ac:dyDescent="0.25">
      <c r="A323" s="275" t="str">
        <f>'работа 3 добр'!A319</f>
        <v>Сцепление к-т ЗМЗ-409"LUK"(с выжимным подшипником АДС)3163 06 1601006 (3163 06 1601006)</v>
      </c>
      <c r="B323" s="185" t="s">
        <v>93</v>
      </c>
      <c r="C323" s="286"/>
      <c r="D323" s="185">
        <f>PRODUCT(Лист1!G94,$A$211)</f>
        <v>0.40200000000000002</v>
      </c>
      <c r="E323" s="350">
        <f>Лист1!H94</f>
        <v>8725</v>
      </c>
      <c r="F323" s="417">
        <f t="shared" si="30"/>
        <v>3507.4500000000003</v>
      </c>
    </row>
    <row r="324" spans="1:6" x14ac:dyDescent="0.25">
      <c r="A324" s="275" t="str">
        <f>'работа 3 добр'!A320</f>
        <v>Термостат Т-118 t-87 (УМЗ4216) Электон  Т118-1306100-04</v>
      </c>
      <c r="B324" s="185" t="s">
        <v>93</v>
      </c>
      <c r="C324" s="286"/>
      <c r="D324" s="185">
        <f>PRODUCT(Лист1!G95,$A$211)</f>
        <v>0.80400000000000005</v>
      </c>
      <c r="E324" s="350">
        <f>Лист1!H95</f>
        <v>315</v>
      </c>
      <c r="F324" s="417">
        <f t="shared" si="30"/>
        <v>253.26000000000002</v>
      </c>
    </row>
    <row r="325" spans="1:6" x14ac:dyDescent="0.25">
      <c r="A325" s="275" t="str">
        <f>'работа 3 добр'!A321</f>
        <v>Тормозная жидкость G-Energy EXPERT DOT4 (0.910кг)</v>
      </c>
      <c r="B325" s="185" t="s">
        <v>93</v>
      </c>
      <c r="C325" s="286"/>
      <c r="D325" s="185">
        <f>PRODUCT(Лист1!G96,$A$211)</f>
        <v>0.80400000000000005</v>
      </c>
      <c r="E325" s="350">
        <f>Лист1!H96</f>
        <v>234</v>
      </c>
      <c r="F325" s="417">
        <f t="shared" si="30"/>
        <v>188.13600000000002</v>
      </c>
    </row>
    <row r="326" spans="1:6" ht="30" x14ac:dyDescent="0.25">
      <c r="A326" s="275" t="str">
        <f>'работа 3 добр'!A322</f>
        <v>Уплотнитель свечного колодца 406 дв.(ЕВРО-2)(Силикон синий) 406.1007248-10 (406.1007248-10)</v>
      </c>
      <c r="B326" s="185" t="s">
        <v>93</v>
      </c>
      <c r="C326" s="286"/>
      <c r="D326" s="185">
        <f>PRODUCT(Лист1!G97,$A$211)</f>
        <v>0.40200000000000002</v>
      </c>
      <c r="E326" s="350">
        <f>Лист1!H97</f>
        <v>96</v>
      </c>
      <c r="F326" s="417">
        <f t="shared" si="30"/>
        <v>38.591999999999999</v>
      </c>
    </row>
    <row r="327" spans="1:6" x14ac:dyDescent="0.25">
      <c r="A327" s="275" t="str">
        <f>'работа 3 добр'!A323</f>
        <v>Утеплитель лобовой наружный с дверями УАЗ-452(ватин/венил/кожа)</v>
      </c>
      <c r="B327" s="185" t="s">
        <v>93</v>
      </c>
      <c r="C327" s="286"/>
      <c r="D327" s="185">
        <f>PRODUCT(Лист1!G98,$A$211)</f>
        <v>0.40200000000000002</v>
      </c>
      <c r="E327" s="350">
        <f>Лист1!H98</f>
        <v>1220</v>
      </c>
      <c r="F327" s="417">
        <f t="shared" si="30"/>
        <v>490.44000000000005</v>
      </c>
    </row>
    <row r="328" spans="1:6" x14ac:dyDescent="0.25">
      <c r="A328" s="275" t="str">
        <f>'работа 3 добр'!A324</f>
        <v>Фильтр масляный MANN-FILTER W 914/2(W 812)(W 813)(W 914/2 n)(W 914/5)"10"</v>
      </c>
      <c r="B328" s="185" t="s">
        <v>93</v>
      </c>
      <c r="C328" s="286"/>
      <c r="D328" s="185">
        <f>PRODUCT(Лист1!G99,$A$211)</f>
        <v>1.6080000000000001</v>
      </c>
      <c r="E328" s="350">
        <f>Лист1!H99</f>
        <v>330</v>
      </c>
      <c r="F328" s="417">
        <f t="shared" si="30"/>
        <v>530.64</v>
      </c>
    </row>
    <row r="329" spans="1:6" ht="30" x14ac:dyDescent="0.25">
      <c r="A329" s="275" t="str">
        <f>'работа 3 добр'!A325</f>
        <v>Фильтр топливный УАЗ ( инжектор штуцера с резьбой)УАЗ Оригиннал 3151-96-1117010 (3151-96-1117010)</v>
      </c>
      <c r="B329" s="185" t="s">
        <v>93</v>
      </c>
      <c r="C329" s="286"/>
      <c r="D329" s="185">
        <f>PRODUCT(Лист1!G100,$A$211)</f>
        <v>1.6080000000000001</v>
      </c>
      <c r="E329" s="350">
        <f>Лист1!H100</f>
        <v>350</v>
      </c>
      <c r="F329" s="417">
        <f t="shared" si="30"/>
        <v>562.80000000000007</v>
      </c>
    </row>
    <row r="330" spans="1:6" ht="30" x14ac:dyDescent="0.25">
      <c r="A330" s="275" t="str">
        <f>'работа 3 добр'!A326</f>
        <v>Цилиндр тормозной задний УАЗ 3160,3162 Патриот(d=28мм)KNU 3160 3502040 (3160 3502040)</v>
      </c>
      <c r="B330" s="185" t="s">
        <v>93</v>
      </c>
      <c r="C330" s="286"/>
      <c r="D330" s="185">
        <f>PRODUCT(Лист1!G101,$A$211)</f>
        <v>1.6080000000000001</v>
      </c>
      <c r="E330" s="350">
        <f>Лист1!H101</f>
        <v>545</v>
      </c>
      <c r="F330" s="417">
        <f t="shared" si="30"/>
        <v>876.36</v>
      </c>
    </row>
    <row r="331" spans="1:6" x14ac:dyDescent="0.25">
      <c r="A331" s="275" t="str">
        <f>'работа 3 добр'!A327</f>
        <v>Шакл (скоба омегообр. с резьбой г/п 3,25т)тип G209 ХЛ</v>
      </c>
      <c r="B331" s="185" t="s">
        <v>93</v>
      </c>
      <c r="C331" s="286"/>
      <c r="D331" s="185">
        <f>PRODUCT(Лист1!G102,$A$211)</f>
        <v>0.40200000000000002</v>
      </c>
      <c r="E331" s="350">
        <f>Лист1!H102</f>
        <v>285</v>
      </c>
      <c r="F331" s="417">
        <f t="shared" si="30"/>
        <v>114.57000000000001</v>
      </c>
    </row>
    <row r="332" spans="1:6" x14ac:dyDescent="0.25">
      <c r="A332" s="275" t="str">
        <f>'работа 3 добр'!A328</f>
        <v>Шкив помпы 406 дв текстолит 406.1308025-10 ( 406.1308025-10)</v>
      </c>
      <c r="B332" s="185" t="s">
        <v>93</v>
      </c>
      <c r="C332" s="286"/>
      <c r="D332" s="185">
        <f>PRODUCT(Лист1!G103,$A$211)</f>
        <v>1.206</v>
      </c>
      <c r="E332" s="350">
        <f>Лист1!H103</f>
        <v>106</v>
      </c>
      <c r="F332" s="417">
        <f t="shared" si="30"/>
        <v>127.836</v>
      </c>
    </row>
    <row r="333" spans="1:6" x14ac:dyDescent="0.25">
      <c r="A333" s="275" t="str">
        <f>'работа 3 добр'!A329</f>
        <v>Шланг тормозной задний УАЗ-452 инжектор.ЕВРО-4 3962-3506061 (3962-3506061)</v>
      </c>
      <c r="B333" s="185" t="s">
        <v>93</v>
      </c>
      <c r="C333" s="286"/>
      <c r="D333" s="185">
        <f>PRODUCT(Лист1!G104,$A$211)</f>
        <v>1.6080000000000001</v>
      </c>
      <c r="E333" s="350">
        <f>Лист1!H104</f>
        <v>185</v>
      </c>
      <c r="F333" s="417">
        <f t="shared" si="30"/>
        <v>297.48</v>
      </c>
    </row>
    <row r="334" spans="1:6" x14ac:dyDescent="0.25">
      <c r="A334" s="275" t="str">
        <f>'работа 3 добр'!A330</f>
        <v>Шланг тормозной передний УАЗ-452 инжектор Евро-4 3962-3506060 (3962-3506060)</v>
      </c>
      <c r="B334" s="185" t="s">
        <v>93</v>
      </c>
      <c r="C334" s="286"/>
      <c r="D334" s="185">
        <f>PRODUCT(Лист1!G105,$A$211)</f>
        <v>1.6080000000000001</v>
      </c>
      <c r="E334" s="350">
        <f>Лист1!H105</f>
        <v>216</v>
      </c>
      <c r="F334" s="417">
        <f t="shared" si="30"/>
        <v>347.32800000000003</v>
      </c>
    </row>
    <row r="335" spans="1:6" x14ac:dyDescent="0.25">
      <c r="A335" s="275" t="str">
        <f>'работа 3 добр'!A331</f>
        <v>Шпилька колеса М 14х1,5х45  ГАЗ 2410,УАЗ 20-3103008-Б (20-3103008-Б)</v>
      </c>
      <c r="B335" s="185" t="s">
        <v>93</v>
      </c>
      <c r="C335" s="286"/>
      <c r="D335" s="185">
        <f>PRODUCT(Лист1!G106,$A$211)</f>
        <v>8.0400000000000009</v>
      </c>
      <c r="E335" s="350">
        <f>Лист1!H106</f>
        <v>21</v>
      </c>
      <c r="F335" s="417">
        <f t="shared" si="30"/>
        <v>168.84000000000003</v>
      </c>
    </row>
    <row r="336" spans="1:6" ht="30" x14ac:dyDescent="0.25">
      <c r="A336" s="275" t="str">
        <f>'работа 3 добр'!A332</f>
        <v>Элемент воздушного фильтра УАЗ 452 инжектор 4213,409 (низкий)Цитрон 9.1.97 1109080 (9.1.97 1109080)</v>
      </c>
      <c r="B336" s="185" t="s">
        <v>93</v>
      </c>
      <c r="C336" s="286"/>
      <c r="D336" s="185">
        <f>PRODUCT(Лист1!G107,$A$211)</f>
        <v>0.80400000000000005</v>
      </c>
      <c r="E336" s="350">
        <f>Лист1!H107</f>
        <v>357</v>
      </c>
      <c r="F336" s="417">
        <f t="shared" si="30"/>
        <v>287.02800000000002</v>
      </c>
    </row>
    <row r="337" spans="1:6" x14ac:dyDescent="0.25">
      <c r="A337" s="275" t="str">
        <f>'работа 3 добр'!A333</f>
        <v>Кран шаровый</v>
      </c>
      <c r="B337" s="185" t="s">
        <v>93</v>
      </c>
      <c r="C337" s="286"/>
      <c r="D337" s="185">
        <f>PRODUCT(Лист1!G108,$A$211)</f>
        <v>0.40200000000000002</v>
      </c>
      <c r="E337" s="350">
        <f>Лист1!H108</f>
        <v>280</v>
      </c>
      <c r="F337" s="417">
        <f t="shared" si="30"/>
        <v>112.56</v>
      </c>
    </row>
    <row r="338" spans="1:6" x14ac:dyDescent="0.25">
      <c r="A338" s="275" t="str">
        <f>'работа 3 добр'!A334</f>
        <v>Вода дист</v>
      </c>
      <c r="B338" s="185" t="s">
        <v>93</v>
      </c>
      <c r="C338" s="286"/>
      <c r="D338" s="185">
        <f>PRODUCT(Лист1!G109,$A$211)</f>
        <v>0.40200000000000002</v>
      </c>
      <c r="E338" s="350">
        <f>Лист1!H109</f>
        <v>50</v>
      </c>
      <c r="F338" s="417">
        <f t="shared" si="30"/>
        <v>20.100000000000001</v>
      </c>
    </row>
    <row r="339" spans="1:6" x14ac:dyDescent="0.25">
      <c r="A339" s="275" t="str">
        <f>'работа 3 добр'!A335</f>
        <v>Кислота серная</v>
      </c>
      <c r="B339" s="185" t="s">
        <v>93</v>
      </c>
      <c r="C339" s="286"/>
      <c r="D339" s="185">
        <f>PRODUCT(Лист1!G110,$A$211)</f>
        <v>1.6080000000000001</v>
      </c>
      <c r="E339" s="350">
        <f>Лист1!H110</f>
        <v>70</v>
      </c>
      <c r="F339" s="417">
        <f t="shared" si="30"/>
        <v>112.56</v>
      </c>
    </row>
    <row r="340" spans="1:6" x14ac:dyDescent="0.25">
      <c r="A340" s="275" t="str">
        <f>'работа 3 добр'!A336</f>
        <v>Пакеты майка</v>
      </c>
      <c r="B340" s="185" t="s">
        <v>93</v>
      </c>
      <c r="C340" s="286"/>
      <c r="D340" s="185">
        <f>PRODUCT(Лист1!G111,$A$211)</f>
        <v>0.40200000000000002</v>
      </c>
      <c r="E340" s="350">
        <f>Лист1!H111</f>
        <v>5</v>
      </c>
      <c r="F340" s="417">
        <f t="shared" si="30"/>
        <v>2.0100000000000002</v>
      </c>
    </row>
    <row r="341" spans="1:6" x14ac:dyDescent="0.25">
      <c r="A341" s="275" t="str">
        <f>'работа 3 добр'!A337</f>
        <v>Уголок мебельный</v>
      </c>
      <c r="B341" s="185" t="s">
        <v>93</v>
      </c>
      <c r="C341" s="286"/>
      <c r="D341" s="185">
        <f>PRODUCT(Лист1!G112,$A$211)</f>
        <v>4.0200000000000005</v>
      </c>
      <c r="E341" s="350">
        <f>Лист1!H112</f>
        <v>7</v>
      </c>
      <c r="F341" s="417">
        <f t="shared" si="30"/>
        <v>28.140000000000004</v>
      </c>
    </row>
    <row r="342" spans="1:6" x14ac:dyDescent="0.25">
      <c r="A342" s="275" t="str">
        <f>'работа 3 добр'!A338</f>
        <v>Саморез по гипсокартону</v>
      </c>
      <c r="B342" s="185" t="s">
        <v>93</v>
      </c>
      <c r="C342" s="286"/>
      <c r="D342" s="185">
        <f>PRODUCT(Лист1!G113,$A$211)</f>
        <v>80.400000000000006</v>
      </c>
      <c r="E342" s="350">
        <f>Лист1!H113</f>
        <v>0.4</v>
      </c>
      <c r="F342" s="417">
        <f t="shared" si="30"/>
        <v>32.160000000000004</v>
      </c>
    </row>
    <row r="343" spans="1:6" x14ac:dyDescent="0.25">
      <c r="A343" s="275" t="str">
        <f>'работа 3 добр'!A339</f>
        <v>Доместос</v>
      </c>
      <c r="B343" s="185" t="s">
        <v>93</v>
      </c>
      <c r="C343" s="286"/>
      <c r="D343" s="185">
        <f>PRODUCT(Лист1!G114,$A$211)</f>
        <v>2.0100000000000002</v>
      </c>
      <c r="E343" s="350">
        <f>Лист1!H114</f>
        <v>175</v>
      </c>
      <c r="F343" s="417">
        <f t="shared" si="30"/>
        <v>351.75000000000006</v>
      </c>
    </row>
    <row r="344" spans="1:6" x14ac:dyDescent="0.25">
      <c r="A344" s="275" t="str">
        <f>'работа 3 добр'!A340</f>
        <v>Белизна</v>
      </c>
      <c r="B344" s="185" t="s">
        <v>93</v>
      </c>
      <c r="C344" s="286"/>
      <c r="D344" s="185">
        <f>PRODUCT(Лист1!G115,$A$211)</f>
        <v>2.0100000000000002</v>
      </c>
      <c r="E344" s="350">
        <f>Лист1!H115</f>
        <v>53</v>
      </c>
      <c r="F344" s="417">
        <f t="shared" si="30"/>
        <v>106.53000000000002</v>
      </c>
    </row>
    <row r="345" spans="1:6" x14ac:dyDescent="0.25">
      <c r="A345" s="275" t="str">
        <f>'работа 3 добр'!A341</f>
        <v xml:space="preserve">Пемолюкс </v>
      </c>
      <c r="B345" s="185" t="s">
        <v>93</v>
      </c>
      <c r="C345" s="286"/>
      <c r="D345" s="185">
        <f>PRODUCT(Лист1!G116,$A$211)</f>
        <v>6.03</v>
      </c>
      <c r="E345" s="350">
        <f>Лист1!H116</f>
        <v>60</v>
      </c>
      <c r="F345" s="417">
        <f t="shared" si="30"/>
        <v>361.8</v>
      </c>
    </row>
    <row r="346" spans="1:6" x14ac:dyDescent="0.25">
      <c r="A346" s="275" t="str">
        <f>'работа 3 добр'!A342</f>
        <v>Мыло</v>
      </c>
      <c r="B346" s="185" t="s">
        <v>93</v>
      </c>
      <c r="C346" s="286"/>
      <c r="D346" s="185">
        <f>PRODUCT(Лист1!G117,$A$211)</f>
        <v>0.40200000000000002</v>
      </c>
      <c r="E346" s="350">
        <f>Лист1!H117</f>
        <v>132</v>
      </c>
      <c r="F346" s="417">
        <f t="shared" si="30"/>
        <v>53.064</v>
      </c>
    </row>
    <row r="347" spans="1:6" x14ac:dyDescent="0.25">
      <c r="A347" s="275" t="str">
        <f>'работа 3 добр'!A343</f>
        <v>Стеклоочиститель с распылителем</v>
      </c>
      <c r="B347" s="185" t="s">
        <v>93</v>
      </c>
      <c r="C347" s="286"/>
      <c r="D347" s="185">
        <f>PRODUCT(Лист1!G118,$A$211)</f>
        <v>0.40200000000000002</v>
      </c>
      <c r="E347" s="350">
        <f>Лист1!H118</f>
        <v>255</v>
      </c>
      <c r="F347" s="417">
        <f t="shared" si="30"/>
        <v>102.51</v>
      </c>
    </row>
    <row r="348" spans="1:6" x14ac:dyDescent="0.25">
      <c r="A348" s="275" t="str">
        <f>'работа 3 добр'!A344</f>
        <v>Стеклоочиститель (сменный блок)</v>
      </c>
      <c r="B348" s="185" t="s">
        <v>93</v>
      </c>
      <c r="C348" s="286"/>
      <c r="D348" s="185">
        <f>PRODUCT(Лист1!G119,$A$211)</f>
        <v>0.40200000000000002</v>
      </c>
      <c r="E348" s="350">
        <f>Лист1!H119</f>
        <v>55</v>
      </c>
      <c r="F348" s="417">
        <f t="shared" si="30"/>
        <v>22.110000000000003</v>
      </c>
    </row>
    <row r="349" spans="1:6" x14ac:dyDescent="0.25">
      <c r="A349" s="275" t="str">
        <f>'работа 3 добр'!A345</f>
        <v>Губки</v>
      </c>
      <c r="B349" s="185" t="s">
        <v>93</v>
      </c>
      <c r="C349" s="286"/>
      <c r="D349" s="185">
        <f>PRODUCT(Лист1!G120,$A$211)</f>
        <v>0.80400000000000005</v>
      </c>
      <c r="E349" s="350">
        <f>Лист1!H120</f>
        <v>220</v>
      </c>
      <c r="F349" s="417">
        <f t="shared" si="30"/>
        <v>176.88000000000002</v>
      </c>
    </row>
    <row r="350" spans="1:6" x14ac:dyDescent="0.25">
      <c r="A350" s="275" t="str">
        <f>'работа 3 добр'!A346</f>
        <v>Моющее средство МИФ</v>
      </c>
      <c r="B350" s="185" t="s">
        <v>93</v>
      </c>
      <c r="C350" s="286"/>
      <c r="D350" s="185">
        <f>PRODUCT(Лист1!G121,$A$211)</f>
        <v>2.0100000000000002</v>
      </c>
      <c r="E350" s="350">
        <f>Лист1!H121</f>
        <v>115</v>
      </c>
      <c r="F350" s="417">
        <f t="shared" si="30"/>
        <v>231.15000000000003</v>
      </c>
    </row>
    <row r="351" spans="1:6" x14ac:dyDescent="0.25">
      <c r="A351" s="275" t="str">
        <f>'работа 3 добр'!A347</f>
        <v>Тряпка вискозная</v>
      </c>
      <c r="B351" s="185" t="s">
        <v>93</v>
      </c>
      <c r="C351" s="286"/>
      <c r="D351" s="185">
        <f>PRODUCT(Лист1!G122,$A$211)</f>
        <v>2.0100000000000002</v>
      </c>
      <c r="E351" s="350">
        <f>Лист1!H122</f>
        <v>70</v>
      </c>
      <c r="F351" s="417">
        <f t="shared" si="30"/>
        <v>140.70000000000002</v>
      </c>
    </row>
    <row r="352" spans="1:6" x14ac:dyDescent="0.25">
      <c r="A352" s="275" t="str">
        <f>'работа 3 добр'!A348</f>
        <v>Тряпки</v>
      </c>
      <c r="B352" s="185" t="s">
        <v>93</v>
      </c>
      <c r="C352" s="186"/>
      <c r="D352" s="185">
        <f>PRODUCT(Лист1!G123,$A$211)</f>
        <v>2.0100000000000002</v>
      </c>
      <c r="E352" s="350">
        <f>Лист1!H123</f>
        <v>170</v>
      </c>
      <c r="F352" s="417">
        <f t="shared" si="30"/>
        <v>341.70000000000005</v>
      </c>
    </row>
    <row r="353" spans="1:6" x14ac:dyDescent="0.25">
      <c r="A353" s="275" t="str">
        <f>'работа 3 добр'!A349</f>
        <v>Полотенца бумажные</v>
      </c>
      <c r="B353" s="185" t="s">
        <v>93</v>
      </c>
      <c r="C353" s="186"/>
      <c r="D353" s="185">
        <f>PRODUCT(Лист1!G124,$A$211)</f>
        <v>2.0100000000000002</v>
      </c>
      <c r="E353" s="350">
        <f>Лист1!H124</f>
        <v>95</v>
      </c>
      <c r="F353" s="417">
        <f t="shared" si="30"/>
        <v>190.95000000000002</v>
      </c>
    </row>
    <row r="354" spans="1:6" x14ac:dyDescent="0.25">
      <c r="A354" s="275" t="str">
        <f>'работа 3 добр'!A350</f>
        <v>Железная губка</v>
      </c>
      <c r="B354" s="185" t="s">
        <v>93</v>
      </c>
      <c r="C354" s="186"/>
      <c r="D354" s="185">
        <f>PRODUCT(Лист1!G125,$A$211)</f>
        <v>0.80400000000000005</v>
      </c>
      <c r="E354" s="350">
        <f>Лист1!H125</f>
        <v>30</v>
      </c>
      <c r="F354" s="417">
        <f t="shared" si="30"/>
        <v>24.12</v>
      </c>
    </row>
    <row r="355" spans="1:6" x14ac:dyDescent="0.25">
      <c r="A355" s="275" t="str">
        <f>'работа 3 добр'!A351</f>
        <v>Перчатки</v>
      </c>
      <c r="B355" s="185" t="s">
        <v>93</v>
      </c>
      <c r="C355" s="186"/>
      <c r="D355" s="185">
        <f>PRODUCT(Лист1!G126,$A$211)</f>
        <v>2.0100000000000002</v>
      </c>
      <c r="E355" s="350">
        <f>Лист1!H126</f>
        <v>60</v>
      </c>
      <c r="F355" s="417">
        <f t="shared" si="30"/>
        <v>120.60000000000001</v>
      </c>
    </row>
    <row r="356" spans="1:6" x14ac:dyDescent="0.25">
      <c r="A356" s="275" t="str">
        <f>'работа 3 добр'!A352</f>
        <v>Блок гигиенический для унитаза</v>
      </c>
      <c r="B356" s="185" t="s">
        <v>93</v>
      </c>
      <c r="C356" s="186"/>
      <c r="D356" s="185">
        <f>PRODUCT(Лист1!G127,$A$211)</f>
        <v>0.80400000000000005</v>
      </c>
      <c r="E356" s="350">
        <f>Лист1!H127</f>
        <v>90</v>
      </c>
      <c r="F356" s="417">
        <f t="shared" si="30"/>
        <v>72.36</v>
      </c>
    </row>
    <row r="357" spans="1:6" x14ac:dyDescent="0.25">
      <c r="A357" s="275" t="str">
        <f>'работа 3 добр'!A353</f>
        <v>Мыло</v>
      </c>
      <c r="B357" s="185" t="s">
        <v>93</v>
      </c>
      <c r="C357" s="186"/>
      <c r="D357" s="185">
        <f>PRODUCT(Лист1!G128,$A$211)</f>
        <v>2.0100000000000002</v>
      </c>
      <c r="E357" s="350">
        <f>Лист1!H128</f>
        <v>45</v>
      </c>
      <c r="F357" s="417">
        <f t="shared" si="30"/>
        <v>90.450000000000017</v>
      </c>
    </row>
    <row r="358" spans="1:6" x14ac:dyDescent="0.25">
      <c r="A358" s="275" t="str">
        <f>'работа 3 добр'!A354</f>
        <v>Мешки для мусора 60 л</v>
      </c>
      <c r="B358" s="185" t="s">
        <v>93</v>
      </c>
      <c r="C358" s="186"/>
      <c r="D358" s="185">
        <f>PRODUCT(Лист1!G129,$A$211)</f>
        <v>4.0200000000000005</v>
      </c>
      <c r="E358" s="350">
        <f>Лист1!H129</f>
        <v>90</v>
      </c>
      <c r="F358" s="417">
        <f t="shared" si="30"/>
        <v>361.80000000000007</v>
      </c>
    </row>
    <row r="359" spans="1:6" x14ac:dyDescent="0.25">
      <c r="A359" s="275" t="str">
        <f>'работа 3 добр'!A355</f>
        <v>Мешки для мусора 120 л</v>
      </c>
      <c r="B359" s="185" t="s">
        <v>93</v>
      </c>
      <c r="C359" s="186"/>
      <c r="D359" s="185">
        <f>PRODUCT(Лист1!G130,$A$211)</f>
        <v>2.0100000000000002</v>
      </c>
      <c r="E359" s="350">
        <f>Лист1!H130</f>
        <v>100</v>
      </c>
      <c r="F359" s="417">
        <f t="shared" si="30"/>
        <v>201.00000000000003</v>
      </c>
    </row>
    <row r="360" spans="1:6" x14ac:dyDescent="0.25">
      <c r="A360" s="275" t="str">
        <f>'работа 3 добр'!A356</f>
        <v>Мешки для мусора 35 л</v>
      </c>
      <c r="B360" s="185" t="s">
        <v>93</v>
      </c>
      <c r="C360" s="186"/>
      <c r="D360" s="185">
        <f>PRODUCT(Лист1!G131,$A$211)</f>
        <v>4.0200000000000005</v>
      </c>
      <c r="E360" s="350">
        <f>Лист1!H131</f>
        <v>50</v>
      </c>
      <c r="F360" s="417">
        <f t="shared" si="30"/>
        <v>201.00000000000003</v>
      </c>
    </row>
    <row r="361" spans="1:6" x14ac:dyDescent="0.25">
      <c r="A361" s="275" t="str">
        <f>'работа 3 добр'!A357</f>
        <v>Туалетная бумага</v>
      </c>
      <c r="B361" s="185" t="s">
        <v>93</v>
      </c>
      <c r="C361" s="186"/>
      <c r="D361" s="185">
        <f>PRODUCT(Лист1!G132,$A$211)</f>
        <v>19.295999999999999</v>
      </c>
      <c r="E361" s="350">
        <f>Лист1!H132</f>
        <v>18</v>
      </c>
      <c r="F361" s="417">
        <f t="shared" si="30"/>
        <v>347.32799999999997</v>
      </c>
    </row>
    <row r="362" spans="1:6" x14ac:dyDescent="0.25">
      <c r="A362" s="275" t="str">
        <f>'работа 3 добр'!A358</f>
        <v>Салфетка</v>
      </c>
      <c r="B362" s="185" t="s">
        <v>93</v>
      </c>
      <c r="C362" s="186"/>
      <c r="D362" s="185">
        <f>PRODUCT(Лист1!G133,$A$211)</f>
        <v>2.0100000000000002</v>
      </c>
      <c r="E362" s="350">
        <f>Лист1!H133</f>
        <v>30</v>
      </c>
      <c r="F362" s="417">
        <f t="shared" si="30"/>
        <v>60.300000000000004</v>
      </c>
    </row>
    <row r="363" spans="1:6" x14ac:dyDescent="0.25">
      <c r="A363" s="275" t="str">
        <f>'работа 3 добр'!A359</f>
        <v>Пакет</v>
      </c>
      <c r="B363" s="185" t="s">
        <v>93</v>
      </c>
      <c r="C363" s="186"/>
      <c r="D363" s="185">
        <f>PRODUCT(Лист1!G134,$A$211)</f>
        <v>1.206</v>
      </c>
      <c r="E363" s="350">
        <f>Лист1!H134</f>
        <v>5</v>
      </c>
      <c r="F363" s="417">
        <f t="shared" si="30"/>
        <v>6.0299999999999994</v>
      </c>
    </row>
    <row r="364" spans="1:6" x14ac:dyDescent="0.25">
      <c r="A364" s="275" t="str">
        <f>'работа 3 добр'!A360</f>
        <v>Жидкое мыло</v>
      </c>
      <c r="B364" s="185" t="s">
        <v>93</v>
      </c>
      <c r="C364" s="186"/>
      <c r="D364" s="185">
        <f>PRODUCT(Лист1!G135,$A$211)</f>
        <v>2.0100000000000002</v>
      </c>
      <c r="E364" s="350">
        <f>Лист1!H135</f>
        <v>260</v>
      </c>
      <c r="F364" s="417">
        <f t="shared" si="30"/>
        <v>522.6</v>
      </c>
    </row>
    <row r="365" spans="1:6" x14ac:dyDescent="0.25">
      <c r="A365" s="275" t="str">
        <f>'работа 3 добр'!A361</f>
        <v>Стеклоочиститель</v>
      </c>
      <c r="B365" s="185" t="s">
        <v>93</v>
      </c>
      <c r="C365" s="186"/>
      <c r="D365" s="185">
        <f>PRODUCT(Лист1!G136,$A$211)</f>
        <v>1.206</v>
      </c>
      <c r="E365" s="350">
        <f>Лист1!H136</f>
        <v>55</v>
      </c>
      <c r="F365" s="417">
        <f t="shared" si="30"/>
        <v>66.33</v>
      </c>
    </row>
    <row r="366" spans="1:6" x14ac:dyDescent="0.25">
      <c r="A366" s="275" t="str">
        <f>'работа 3 добр'!A362</f>
        <v>Блок для записи маленький</v>
      </c>
      <c r="B366" s="185" t="s">
        <v>93</v>
      </c>
      <c r="C366" s="186"/>
      <c r="D366" s="185">
        <f>PRODUCT(Лист1!G137,$A$211)</f>
        <v>0.80400000000000005</v>
      </c>
      <c r="E366" s="350">
        <f>Лист1!H137</f>
        <v>70</v>
      </c>
      <c r="F366" s="417">
        <f t="shared" si="30"/>
        <v>56.28</v>
      </c>
    </row>
    <row r="367" spans="1:6" x14ac:dyDescent="0.25">
      <c r="A367" s="275" t="str">
        <f>'работа 3 добр'!A363</f>
        <v>Блок для записи большой</v>
      </c>
      <c r="B367" s="185" t="s">
        <v>93</v>
      </c>
      <c r="C367" s="250"/>
      <c r="D367" s="185">
        <f>PRODUCT(Лист1!G138,$A$211)</f>
        <v>1.206</v>
      </c>
      <c r="E367" s="350">
        <f>Лист1!H138</f>
        <v>80</v>
      </c>
      <c r="F367" s="417">
        <f t="shared" si="30"/>
        <v>96.47999999999999</v>
      </c>
    </row>
    <row r="368" spans="1:6" x14ac:dyDescent="0.25">
      <c r="A368" s="275" t="str">
        <f>'работа 3 добр'!A364</f>
        <v>Скрепки</v>
      </c>
      <c r="B368" s="185" t="s">
        <v>93</v>
      </c>
      <c r="C368" s="250"/>
      <c r="D368" s="185">
        <f>PRODUCT(Лист1!G139,$A$211)</f>
        <v>4.0200000000000005</v>
      </c>
      <c r="E368" s="350">
        <f>Лист1!H139</f>
        <v>60</v>
      </c>
      <c r="F368" s="417">
        <f t="shared" si="30"/>
        <v>241.20000000000002</v>
      </c>
    </row>
    <row r="369" spans="1:6" x14ac:dyDescent="0.25">
      <c r="A369" s="275" t="str">
        <f>'работа 3 добр'!A365</f>
        <v>Кнопки</v>
      </c>
      <c r="B369" s="185" t="s">
        <v>93</v>
      </c>
      <c r="C369" s="250"/>
      <c r="D369" s="185">
        <f>PRODUCT(Лист1!G140,$A$211)</f>
        <v>4.0200000000000005</v>
      </c>
      <c r="E369" s="350">
        <f>Лист1!H140</f>
        <v>30</v>
      </c>
      <c r="F369" s="417">
        <f t="shared" si="30"/>
        <v>120.60000000000001</v>
      </c>
    </row>
    <row r="370" spans="1:6" x14ac:dyDescent="0.25">
      <c r="A370" s="275" t="str">
        <f>'работа 3 добр'!A366</f>
        <v>Кнопки</v>
      </c>
      <c r="B370" s="185" t="s">
        <v>93</v>
      </c>
      <c r="C370" s="250"/>
      <c r="D370" s="185">
        <f>PRODUCT(Лист1!G141,$A$211)</f>
        <v>2.0100000000000002</v>
      </c>
      <c r="E370" s="350">
        <f>Лист1!H141</f>
        <v>70</v>
      </c>
      <c r="F370" s="417">
        <f t="shared" si="30"/>
        <v>140.70000000000002</v>
      </c>
    </row>
    <row r="371" spans="1:6" x14ac:dyDescent="0.25">
      <c r="A371" s="275" t="str">
        <f>'работа 3 добр'!A367</f>
        <v>Степлер №10</v>
      </c>
      <c r="B371" s="185" t="s">
        <v>93</v>
      </c>
      <c r="C371" s="250"/>
      <c r="D371" s="185">
        <f>PRODUCT(Лист1!G142,$A$211)</f>
        <v>0.40200000000000002</v>
      </c>
      <c r="E371" s="350">
        <f>Лист1!H142</f>
        <v>180</v>
      </c>
      <c r="F371" s="417">
        <f t="shared" si="30"/>
        <v>72.36</v>
      </c>
    </row>
    <row r="372" spans="1:6" x14ac:dyDescent="0.25">
      <c r="A372" s="275" t="str">
        <f>'работа 3 добр'!A368</f>
        <v>Степлер №24</v>
      </c>
      <c r="B372" s="185" t="s">
        <v>93</v>
      </c>
      <c r="C372" s="250"/>
      <c r="D372" s="185">
        <f>PRODUCT(Лист1!G143,$A$211)</f>
        <v>0.40200000000000002</v>
      </c>
      <c r="E372" s="350">
        <f>Лист1!H143</f>
        <v>340</v>
      </c>
      <c r="F372" s="417">
        <f t="shared" si="30"/>
        <v>136.68</v>
      </c>
    </row>
    <row r="373" spans="1:6" x14ac:dyDescent="0.25">
      <c r="A373" s="275" t="str">
        <f>'работа 3 добр'!A369</f>
        <v>Степлер №21</v>
      </c>
      <c r="B373" s="185" t="s">
        <v>93</v>
      </c>
      <c r="C373" s="250"/>
      <c r="D373" s="185">
        <f>PRODUCT(Лист1!G144,$A$211)</f>
        <v>1.206</v>
      </c>
      <c r="E373" s="350">
        <f>Лист1!H144</f>
        <v>210</v>
      </c>
      <c r="F373" s="417">
        <f t="shared" si="30"/>
        <v>253.26</v>
      </c>
    </row>
    <row r="374" spans="1:6" x14ac:dyDescent="0.25">
      <c r="A374" s="275" t="str">
        <f>'работа 3 добр'!A370</f>
        <v>Скобы для степлера (большие)</v>
      </c>
      <c r="B374" s="185" t="s">
        <v>93</v>
      </c>
      <c r="C374" s="250"/>
      <c r="D374" s="185">
        <f>PRODUCT(Лист1!G145,$A$211)</f>
        <v>8.0400000000000009</v>
      </c>
      <c r="E374" s="350">
        <f>Лист1!H145</f>
        <v>20</v>
      </c>
      <c r="F374" s="417">
        <f t="shared" si="30"/>
        <v>160.80000000000001</v>
      </c>
    </row>
    <row r="375" spans="1:6" x14ac:dyDescent="0.25">
      <c r="A375" s="275" t="str">
        <f>'работа 3 добр'!A371</f>
        <v>Скобы для степлера (маленькие)</v>
      </c>
      <c r="B375" s="185" t="s">
        <v>93</v>
      </c>
      <c r="C375" s="250"/>
      <c r="D375" s="185">
        <f>PRODUCT(Лист1!G146,$A$211)</f>
        <v>4.0200000000000005</v>
      </c>
      <c r="E375" s="350">
        <f>Лист1!H146</f>
        <v>50</v>
      </c>
      <c r="F375" s="417">
        <f t="shared" si="30"/>
        <v>201.00000000000003</v>
      </c>
    </row>
    <row r="376" spans="1:6" x14ac:dyDescent="0.25">
      <c r="A376" s="275" t="str">
        <f>'работа 3 добр'!A372</f>
        <v>Ножницы маленькие</v>
      </c>
      <c r="B376" s="185" t="s">
        <v>93</v>
      </c>
      <c r="C376" s="250"/>
      <c r="D376" s="185">
        <f>PRODUCT(Лист1!G147,$A$211)</f>
        <v>1.206</v>
      </c>
      <c r="E376" s="350">
        <f>Лист1!H147</f>
        <v>110</v>
      </c>
      <c r="F376" s="417">
        <f t="shared" si="30"/>
        <v>132.66</v>
      </c>
    </row>
    <row r="377" spans="1:6" x14ac:dyDescent="0.25">
      <c r="A377" s="275" t="str">
        <f>'работа 3 добр'!A373</f>
        <v xml:space="preserve">Ножницы большие </v>
      </c>
      <c r="B377" s="185" t="s">
        <v>93</v>
      </c>
      <c r="C377" s="250"/>
      <c r="D377" s="185">
        <f>PRODUCT(Лист1!G148,$A$211)</f>
        <v>0.40200000000000002</v>
      </c>
      <c r="E377" s="350">
        <f>Лист1!H148</f>
        <v>140</v>
      </c>
      <c r="F377" s="417">
        <f t="shared" ref="F377:F429" si="31">D377*E377</f>
        <v>56.28</v>
      </c>
    </row>
    <row r="378" spans="1:6" x14ac:dyDescent="0.25">
      <c r="A378" s="275" t="str">
        <f>'работа 3 добр'!A374</f>
        <v>Ножницы</v>
      </c>
      <c r="B378" s="185" t="s">
        <v>93</v>
      </c>
      <c r="C378" s="250"/>
      <c r="D378" s="185">
        <f>PRODUCT(Лист1!G149,$A$211)</f>
        <v>4.0200000000000005</v>
      </c>
      <c r="E378" s="350">
        <f>Лист1!H149</f>
        <v>40</v>
      </c>
      <c r="F378" s="417">
        <f t="shared" si="31"/>
        <v>160.80000000000001</v>
      </c>
    </row>
    <row r="379" spans="1:6" x14ac:dyDescent="0.25">
      <c r="A379" s="275" t="str">
        <f>'работа 3 добр'!A375</f>
        <v>Линейка 40 см</v>
      </c>
      <c r="B379" s="185" t="s">
        <v>93</v>
      </c>
      <c r="C379" s="250"/>
      <c r="D379" s="185">
        <f>PRODUCT(Лист1!G150,$A$211)</f>
        <v>0.80400000000000005</v>
      </c>
      <c r="E379" s="350">
        <f>Лист1!H150</f>
        <v>70</v>
      </c>
      <c r="F379" s="417">
        <f t="shared" si="31"/>
        <v>56.28</v>
      </c>
    </row>
    <row r="380" spans="1:6" x14ac:dyDescent="0.25">
      <c r="A380" s="275" t="str">
        <f>'работа 3 добр'!A376</f>
        <v>Линейка 30 см</v>
      </c>
      <c r="B380" s="185" t="s">
        <v>93</v>
      </c>
      <c r="C380" s="250"/>
      <c r="D380" s="185">
        <f>PRODUCT(Лист1!G151,$A$211)</f>
        <v>2.0100000000000002</v>
      </c>
      <c r="E380" s="350">
        <f>Лист1!H151</f>
        <v>30</v>
      </c>
      <c r="F380" s="417">
        <f t="shared" si="31"/>
        <v>60.300000000000004</v>
      </c>
    </row>
    <row r="381" spans="1:6" x14ac:dyDescent="0.25">
      <c r="A381" s="275" t="str">
        <f>'работа 3 добр'!A377</f>
        <v>Линейка 20 см</v>
      </c>
      <c r="B381" s="185" t="s">
        <v>93</v>
      </c>
      <c r="C381" s="250"/>
      <c r="D381" s="185">
        <f>PRODUCT(Лист1!G152,$A$211)</f>
        <v>1.6080000000000001</v>
      </c>
      <c r="E381" s="350">
        <f>Лист1!H152</f>
        <v>20</v>
      </c>
      <c r="F381" s="417">
        <f t="shared" si="31"/>
        <v>32.160000000000004</v>
      </c>
    </row>
    <row r="382" spans="1:6" x14ac:dyDescent="0.25">
      <c r="A382" s="275" t="str">
        <f>'работа 3 добр'!A378</f>
        <v>Маркер черный толстый</v>
      </c>
      <c r="B382" s="185" t="s">
        <v>93</v>
      </c>
      <c r="C382" s="250"/>
      <c r="D382" s="185">
        <f>PRODUCT(Лист1!G153,$A$211)</f>
        <v>0.40200000000000002</v>
      </c>
      <c r="E382" s="350">
        <f>Лист1!H153</f>
        <v>80</v>
      </c>
      <c r="F382" s="417">
        <f t="shared" si="31"/>
        <v>32.160000000000004</v>
      </c>
    </row>
    <row r="383" spans="1:6" x14ac:dyDescent="0.25">
      <c r="A383" s="275" t="str">
        <f>'работа 3 добр'!A379</f>
        <v>Маркер черный тонкий</v>
      </c>
      <c r="B383" s="185" t="s">
        <v>93</v>
      </c>
      <c r="C383" s="250"/>
      <c r="D383" s="185">
        <f>PRODUCT(Лист1!G154,$A$211)</f>
        <v>3.2160000000000002</v>
      </c>
      <c r="E383" s="350">
        <f>Лист1!H154</f>
        <v>35</v>
      </c>
      <c r="F383" s="417">
        <f t="shared" si="31"/>
        <v>112.56</v>
      </c>
    </row>
    <row r="384" spans="1:6" x14ac:dyDescent="0.25">
      <c r="A384" s="275" t="str">
        <f>'работа 3 добр'!A380</f>
        <v>Маркер (набор)</v>
      </c>
      <c r="B384" s="185" t="s">
        <v>93</v>
      </c>
      <c r="C384" s="250"/>
      <c r="D384" s="185">
        <f>PRODUCT(Лист1!G155,$A$211)</f>
        <v>0.40200000000000002</v>
      </c>
      <c r="E384" s="350">
        <f>Лист1!H155</f>
        <v>290</v>
      </c>
      <c r="F384" s="417">
        <f t="shared" si="31"/>
        <v>116.58000000000001</v>
      </c>
    </row>
    <row r="385" spans="1:6" x14ac:dyDescent="0.25">
      <c r="A385" s="275" t="str">
        <f>'работа 3 добр'!A381</f>
        <v>Маркер красный</v>
      </c>
      <c r="B385" s="185" t="s">
        <v>93</v>
      </c>
      <c r="C385" s="250"/>
      <c r="D385" s="185">
        <f>PRODUCT(Лист1!G156,$A$211)</f>
        <v>1.6080000000000001</v>
      </c>
      <c r="E385" s="350">
        <f>Лист1!H156</f>
        <v>50</v>
      </c>
      <c r="F385" s="417">
        <f t="shared" si="31"/>
        <v>80.400000000000006</v>
      </c>
    </row>
    <row r="386" spans="1:6" x14ac:dyDescent="0.25">
      <c r="A386" s="275" t="str">
        <f>'работа 3 добр'!A382</f>
        <v>Маркер (синий)</v>
      </c>
      <c r="B386" s="185" t="s">
        <v>93</v>
      </c>
      <c r="C386" s="186"/>
      <c r="D386" s="185">
        <f>PRODUCT(Лист1!G157,$A$211)</f>
        <v>0.80400000000000005</v>
      </c>
      <c r="E386" s="350">
        <f>Лист1!H157</f>
        <v>120</v>
      </c>
      <c r="F386" s="417">
        <f t="shared" si="31"/>
        <v>96.48</v>
      </c>
    </row>
    <row r="387" spans="1:6" x14ac:dyDescent="0.25">
      <c r="A387" s="275" t="str">
        <f>'работа 3 добр'!A383</f>
        <v>Клей маленький</v>
      </c>
      <c r="B387" s="185" t="s">
        <v>93</v>
      </c>
      <c r="C387" s="186"/>
      <c r="D387" s="185">
        <f>PRODUCT(Лист1!G158,$A$211)</f>
        <v>3.6180000000000003</v>
      </c>
      <c r="E387" s="350">
        <f>Лист1!H158</f>
        <v>40</v>
      </c>
      <c r="F387" s="417">
        <f t="shared" si="31"/>
        <v>144.72000000000003</v>
      </c>
    </row>
    <row r="388" spans="1:6" x14ac:dyDescent="0.25">
      <c r="A388" s="275" t="str">
        <f>'работа 3 добр'!A384</f>
        <v>Клей большой</v>
      </c>
      <c r="B388" s="185" t="s">
        <v>93</v>
      </c>
      <c r="C388" s="186"/>
      <c r="D388" s="185">
        <f>PRODUCT(Лист1!G159,$A$211)</f>
        <v>2.0100000000000002</v>
      </c>
      <c r="E388" s="350">
        <f>Лист1!H159</f>
        <v>60</v>
      </c>
      <c r="F388" s="417">
        <f t="shared" si="31"/>
        <v>120.60000000000001</v>
      </c>
    </row>
    <row r="389" spans="1:6" x14ac:dyDescent="0.25">
      <c r="A389" s="275" t="str">
        <f>'работа 3 добр'!A385</f>
        <v>Резак для резки бумаги</v>
      </c>
      <c r="B389" s="185" t="s">
        <v>93</v>
      </c>
      <c r="C389" s="186"/>
      <c r="D389" s="185">
        <f>PRODUCT(Лист1!G160,$A$211)</f>
        <v>0.40200000000000002</v>
      </c>
      <c r="E389" s="350">
        <f>Лист1!H160</f>
        <v>100</v>
      </c>
      <c r="F389" s="417">
        <f t="shared" si="31"/>
        <v>40.200000000000003</v>
      </c>
    </row>
    <row r="390" spans="1:6" x14ac:dyDescent="0.25">
      <c r="A390" s="275" t="str">
        <f>'работа 3 добр'!A386</f>
        <v>Краска</v>
      </c>
      <c r="B390" s="185" t="s">
        <v>93</v>
      </c>
      <c r="C390" s="186"/>
      <c r="D390" s="185">
        <f>PRODUCT(Лист1!G161,$A$211)</f>
        <v>0.40200000000000002</v>
      </c>
      <c r="E390" s="350">
        <f>Лист1!H161</f>
        <v>140</v>
      </c>
      <c r="F390" s="417">
        <f t="shared" si="31"/>
        <v>56.28</v>
      </c>
    </row>
    <row r="391" spans="1:6" x14ac:dyDescent="0.25">
      <c r="A391" s="275" t="str">
        <f>'работа 3 добр'!A387</f>
        <v>Зажим маленький</v>
      </c>
      <c r="B391" s="185" t="s">
        <v>93</v>
      </c>
      <c r="C391" s="186"/>
      <c r="D391" s="185">
        <f>PRODUCT(Лист1!G162,$A$211)</f>
        <v>4.0200000000000005</v>
      </c>
      <c r="E391" s="350">
        <f>Лист1!H162</f>
        <v>15</v>
      </c>
      <c r="F391" s="417">
        <f t="shared" si="31"/>
        <v>60.300000000000004</v>
      </c>
    </row>
    <row r="392" spans="1:6" x14ac:dyDescent="0.25">
      <c r="A392" s="275" t="str">
        <f>'работа 3 добр'!A388</f>
        <v>Зажим большой</v>
      </c>
      <c r="B392" s="185" t="s">
        <v>93</v>
      </c>
      <c r="C392" s="186"/>
      <c r="D392" s="185">
        <f>PRODUCT(Лист1!G163,$A$211)</f>
        <v>4.0200000000000005</v>
      </c>
      <c r="E392" s="350">
        <f>Лист1!H163</f>
        <v>20</v>
      </c>
      <c r="F392" s="417">
        <f t="shared" si="31"/>
        <v>80.400000000000006</v>
      </c>
    </row>
    <row r="393" spans="1:6" x14ac:dyDescent="0.25">
      <c r="A393" s="275" t="str">
        <f>'работа 3 добр'!A389</f>
        <v>Корректор ручка</v>
      </c>
      <c r="B393" s="185" t="s">
        <v>93</v>
      </c>
      <c r="C393" s="186"/>
      <c r="D393" s="185">
        <f>PRODUCT(Лист1!G164,$A$211)</f>
        <v>0.80400000000000005</v>
      </c>
      <c r="E393" s="350">
        <f>Лист1!H164</f>
        <v>80</v>
      </c>
      <c r="F393" s="417">
        <f t="shared" si="31"/>
        <v>64.320000000000007</v>
      </c>
    </row>
    <row r="394" spans="1:6" x14ac:dyDescent="0.25">
      <c r="A394" s="275" t="str">
        <f>'работа 3 добр'!A390</f>
        <v>Корректор с кистью</v>
      </c>
      <c r="B394" s="185" t="s">
        <v>93</v>
      </c>
      <c r="C394" s="186"/>
      <c r="D394" s="185">
        <f>PRODUCT(Лист1!G165,$A$211)</f>
        <v>0.80400000000000005</v>
      </c>
      <c r="E394" s="350">
        <f>Лист1!H165</f>
        <v>50</v>
      </c>
      <c r="F394" s="417">
        <f t="shared" si="31"/>
        <v>40.200000000000003</v>
      </c>
    </row>
    <row r="395" spans="1:6" x14ac:dyDescent="0.25">
      <c r="A395" s="275" t="str">
        <f>'работа 3 добр'!A391</f>
        <v>Скотч</v>
      </c>
      <c r="B395" s="185" t="s">
        <v>93</v>
      </c>
      <c r="C395" s="359"/>
      <c r="D395" s="185">
        <f>PRODUCT(Лист1!G166,$A$211)</f>
        <v>2.0100000000000002</v>
      </c>
      <c r="E395" s="350">
        <f>Лист1!H166</f>
        <v>15</v>
      </c>
      <c r="F395" s="417">
        <f t="shared" si="31"/>
        <v>30.150000000000002</v>
      </c>
    </row>
    <row r="396" spans="1:6" x14ac:dyDescent="0.25">
      <c r="A396" s="275" t="str">
        <f>'работа 3 добр'!A392</f>
        <v>Нож канцелярский</v>
      </c>
      <c r="B396" s="185" t="s">
        <v>93</v>
      </c>
      <c r="C396" s="359"/>
      <c r="D396" s="185">
        <f>PRODUCT(Лист1!G167,$A$211)</f>
        <v>4.8239999999999998</v>
      </c>
      <c r="E396" s="350">
        <f>Лист1!H167</f>
        <v>50</v>
      </c>
      <c r="F396" s="417">
        <f t="shared" si="31"/>
        <v>241.2</v>
      </c>
    </row>
    <row r="397" spans="1:6" x14ac:dyDescent="0.25">
      <c r="A397" s="275" t="str">
        <f>'работа 3 добр'!A393</f>
        <v>Нитки для сшивания (толстые)</v>
      </c>
      <c r="B397" s="185" t="s">
        <v>93</v>
      </c>
      <c r="C397" s="359"/>
      <c r="D397" s="185">
        <f>PRODUCT(Лист1!G168,$A$211)</f>
        <v>0.40200000000000002</v>
      </c>
      <c r="E397" s="350">
        <f>Лист1!H168</f>
        <v>210</v>
      </c>
      <c r="F397" s="417">
        <f t="shared" si="31"/>
        <v>84.42</v>
      </c>
    </row>
    <row r="398" spans="1:6" x14ac:dyDescent="0.25">
      <c r="A398" s="275" t="str">
        <f>'работа 3 добр'!A394</f>
        <v>Шило</v>
      </c>
      <c r="B398" s="185" t="s">
        <v>93</v>
      </c>
      <c r="C398" s="359"/>
      <c r="D398" s="185">
        <f>PRODUCT(Лист1!G169,$A$211)</f>
        <v>0.40200000000000002</v>
      </c>
      <c r="E398" s="350">
        <f>Лист1!H169</f>
        <v>60</v>
      </c>
      <c r="F398" s="417">
        <f t="shared" si="31"/>
        <v>24.12</v>
      </c>
    </row>
    <row r="399" spans="1:6" x14ac:dyDescent="0.25">
      <c r="A399" s="275" t="str">
        <f>'работа 3 добр'!A395</f>
        <v>Дырокол на 10 листов металл.</v>
      </c>
      <c r="B399" s="185" t="s">
        <v>93</v>
      </c>
      <c r="C399" s="359"/>
      <c r="D399" s="185">
        <f>PRODUCT(Лист1!G170,$A$211)</f>
        <v>1.6080000000000001</v>
      </c>
      <c r="E399" s="350">
        <f>Лист1!H170</f>
        <v>190</v>
      </c>
      <c r="F399" s="417">
        <f t="shared" si="31"/>
        <v>305.52000000000004</v>
      </c>
    </row>
    <row r="400" spans="1:6" x14ac:dyDescent="0.25">
      <c r="A400" s="275" t="str">
        <f>'работа 3 добр'!A396</f>
        <v>Дырокол на 70 листов черный</v>
      </c>
      <c r="B400" s="185" t="s">
        <v>93</v>
      </c>
      <c r="C400" s="359"/>
      <c r="D400" s="185">
        <f>PRODUCT(Лист1!G171,$A$211)</f>
        <v>0.40200000000000002</v>
      </c>
      <c r="E400" s="350">
        <f>Лист1!H171</f>
        <v>320</v>
      </c>
      <c r="F400" s="417">
        <f t="shared" si="31"/>
        <v>128.64000000000001</v>
      </c>
    </row>
    <row r="401" spans="1:6" x14ac:dyDescent="0.25">
      <c r="A401" s="275" t="str">
        <f>'работа 3 добр'!A397</f>
        <v>Карандаш простой</v>
      </c>
      <c r="B401" s="185" t="s">
        <v>93</v>
      </c>
      <c r="C401" s="359"/>
      <c r="D401" s="185">
        <f>PRODUCT(Лист1!G172,$A$211)</f>
        <v>4.0200000000000005</v>
      </c>
      <c r="E401" s="350">
        <f>Лист1!H172</f>
        <v>20</v>
      </c>
      <c r="F401" s="417">
        <f t="shared" si="31"/>
        <v>80.400000000000006</v>
      </c>
    </row>
    <row r="402" spans="1:6" x14ac:dyDescent="0.25">
      <c r="A402" s="275" t="str">
        <f>'работа 3 добр'!A398</f>
        <v>Ручка</v>
      </c>
      <c r="B402" s="185" t="s">
        <v>93</v>
      </c>
      <c r="C402" s="359"/>
      <c r="D402" s="185">
        <f>PRODUCT(Лист1!G173,$A$211)</f>
        <v>0.40200000000000002</v>
      </c>
      <c r="E402" s="350">
        <f>Лист1!H173</f>
        <v>20</v>
      </c>
      <c r="F402" s="417">
        <f t="shared" si="31"/>
        <v>8.0400000000000009</v>
      </c>
    </row>
    <row r="403" spans="1:6" x14ac:dyDescent="0.25">
      <c r="A403" s="275" t="str">
        <f>'работа 3 добр'!A399</f>
        <v>Полотенце</v>
      </c>
      <c r="B403" s="185" t="s">
        <v>93</v>
      </c>
      <c r="C403" s="359"/>
      <c r="D403" s="185">
        <f>PRODUCT(Лист1!G174,$A$211)</f>
        <v>2.0100000000000002</v>
      </c>
      <c r="E403" s="350">
        <f>Лист1!H174</f>
        <v>110</v>
      </c>
      <c r="F403" s="417">
        <f t="shared" si="31"/>
        <v>221.10000000000002</v>
      </c>
    </row>
    <row r="404" spans="1:6" x14ac:dyDescent="0.25">
      <c r="A404" s="275" t="str">
        <f>'работа 3 добр'!A400</f>
        <v>Комплект веник-совок</v>
      </c>
      <c r="B404" s="185" t="s">
        <v>93</v>
      </c>
      <c r="C404" s="359"/>
      <c r="D404" s="185">
        <f>PRODUCT(Лист1!G175,$A$211)</f>
        <v>1.206</v>
      </c>
      <c r="E404" s="350">
        <f>Лист1!H175</f>
        <v>450</v>
      </c>
      <c r="F404" s="417">
        <f t="shared" si="31"/>
        <v>542.69999999999993</v>
      </c>
    </row>
    <row r="405" spans="1:6" x14ac:dyDescent="0.25">
      <c r="A405" s="275" t="str">
        <f>'работа 3 добр'!A401</f>
        <v>Насадки на швабру</v>
      </c>
      <c r="B405" s="185" t="s">
        <v>93</v>
      </c>
      <c r="C405" s="359"/>
      <c r="D405" s="185">
        <f>PRODUCT(Лист1!G176,$A$211)</f>
        <v>1.6080000000000001</v>
      </c>
      <c r="E405" s="350">
        <f>Лист1!H176</f>
        <v>100</v>
      </c>
      <c r="F405" s="417">
        <f t="shared" si="31"/>
        <v>160.80000000000001</v>
      </c>
    </row>
    <row r="406" spans="1:6" x14ac:dyDescent="0.25">
      <c r="A406" s="275" t="str">
        <f>'работа 3 добр'!A402</f>
        <v>Бумага Svetocopy</v>
      </c>
      <c r="B406" s="185" t="s">
        <v>93</v>
      </c>
      <c r="C406" s="359"/>
      <c r="D406" s="185">
        <f>PRODUCT(Лист1!G177,$A$211)</f>
        <v>12.06</v>
      </c>
      <c r="E406" s="350">
        <f>Лист1!H177</f>
        <v>310</v>
      </c>
      <c r="F406" s="417">
        <f t="shared" si="31"/>
        <v>3738.6000000000004</v>
      </c>
    </row>
    <row r="407" spans="1:6" x14ac:dyDescent="0.25">
      <c r="A407" s="275" t="str">
        <f>'работа 3 добр'!A403</f>
        <v>Папка накопитель</v>
      </c>
      <c r="B407" s="185" t="s">
        <v>93</v>
      </c>
      <c r="C407" s="359"/>
      <c r="D407" s="185">
        <f>PRODUCT(Лист1!G178,$A$211)</f>
        <v>0.40200000000000002</v>
      </c>
      <c r="E407" s="350">
        <f>Лист1!H178</f>
        <v>45</v>
      </c>
      <c r="F407" s="417">
        <f t="shared" si="31"/>
        <v>18.09</v>
      </c>
    </row>
    <row r="408" spans="1:6" x14ac:dyDescent="0.25">
      <c r="A408" s="275" t="str">
        <f>'работа 3 добр'!A404</f>
        <v>Набор пил колец</v>
      </c>
      <c r="B408" s="185" t="s">
        <v>93</v>
      </c>
      <c r="C408" s="359"/>
      <c r="D408" s="185">
        <f>PRODUCT(Лист1!G179,$A$211)</f>
        <v>0.40200000000000002</v>
      </c>
      <c r="E408" s="350">
        <f>Лист1!H179</f>
        <v>595</v>
      </c>
      <c r="F408" s="417">
        <f t="shared" si="31"/>
        <v>239.19000000000003</v>
      </c>
    </row>
    <row r="409" spans="1:6" x14ac:dyDescent="0.25">
      <c r="A409" s="275" t="str">
        <f>'работа 3 добр'!A405</f>
        <v>Клей</v>
      </c>
      <c r="B409" s="185" t="s">
        <v>93</v>
      </c>
      <c r="C409" s="359"/>
      <c r="D409" s="185">
        <f>PRODUCT(Лист1!G180,$A$211)</f>
        <v>0.40200000000000002</v>
      </c>
      <c r="E409" s="350">
        <f>Лист1!H180</f>
        <v>175</v>
      </c>
      <c r="F409" s="417">
        <f t="shared" si="31"/>
        <v>70.350000000000009</v>
      </c>
    </row>
    <row r="410" spans="1:6" x14ac:dyDescent="0.25">
      <c r="A410" s="275" t="str">
        <f>'работа 3 добр'!A406</f>
        <v>Крышка горловины</v>
      </c>
      <c r="B410" s="185" t="s">
        <v>93</v>
      </c>
      <c r="C410" s="359"/>
      <c r="D410" s="185">
        <f>PRODUCT(Лист1!G181,$A$211)</f>
        <v>0.80400000000000005</v>
      </c>
      <c r="E410" s="350">
        <f>Лист1!H181</f>
        <v>80</v>
      </c>
      <c r="F410" s="417">
        <f t="shared" si="31"/>
        <v>64.320000000000007</v>
      </c>
    </row>
    <row r="411" spans="1:6" x14ac:dyDescent="0.25">
      <c r="A411" s="275" t="str">
        <f>'работа 3 добр'!A407</f>
        <v>папка скоросшиватель</v>
      </c>
      <c r="B411" s="185" t="s">
        <v>93</v>
      </c>
      <c r="C411" s="359"/>
      <c r="D411" s="185">
        <f>PRODUCT(Лист1!G182,$A$211)</f>
        <v>4.0200000000000005</v>
      </c>
      <c r="E411" s="350">
        <f>Лист1!H182</f>
        <v>15</v>
      </c>
      <c r="F411" s="417">
        <f t="shared" si="31"/>
        <v>60.300000000000004</v>
      </c>
    </row>
    <row r="412" spans="1:6" x14ac:dyDescent="0.25">
      <c r="A412" s="275" t="str">
        <f>'работа 3 добр'!A408</f>
        <v>Прессвол РОР-АР 3,5*2,3м</v>
      </c>
      <c r="B412" s="185" t="s">
        <v>93</v>
      </c>
      <c r="C412" s="376"/>
      <c r="D412" s="185">
        <f>PRODUCT(Лист1!G183,$A$211)</f>
        <v>0.40200000000000002</v>
      </c>
      <c r="E412" s="365">
        <f>Лист1!H183</f>
        <v>25000</v>
      </c>
      <c r="F412" s="417">
        <f t="shared" si="31"/>
        <v>10050</v>
      </c>
    </row>
    <row r="413" spans="1:6" x14ac:dyDescent="0.25">
      <c r="A413" s="275" t="str">
        <f>'работа 3 добр'!A409</f>
        <v>плинтус кабель-канал</v>
      </c>
      <c r="B413" s="185" t="s">
        <v>93</v>
      </c>
      <c r="C413" s="376"/>
      <c r="D413" s="185">
        <f>PRODUCT(Лист1!G184,$A$211)</f>
        <v>1.206</v>
      </c>
      <c r="E413" s="365">
        <f>Лист1!H184</f>
        <v>70</v>
      </c>
      <c r="F413" s="417">
        <f t="shared" si="31"/>
        <v>84.42</v>
      </c>
    </row>
    <row r="414" spans="1:6" x14ac:dyDescent="0.25">
      <c r="A414" s="275" t="str">
        <f>'работа 3 добр'!A410</f>
        <v>валик малярный L</v>
      </c>
      <c r="B414" s="185" t="s">
        <v>93</v>
      </c>
      <c r="C414" s="376"/>
      <c r="D414" s="185">
        <f>PRODUCT(Лист1!G185,$A$211)</f>
        <v>0.80400000000000005</v>
      </c>
      <c r="E414" s="365">
        <f>Лист1!H185</f>
        <v>134</v>
      </c>
      <c r="F414" s="417">
        <f t="shared" si="31"/>
        <v>107.736</v>
      </c>
    </row>
    <row r="415" spans="1:6" x14ac:dyDescent="0.25">
      <c r="A415" s="275" t="str">
        <f>'работа 3 добр'!A411</f>
        <v>валик малярный профи</v>
      </c>
      <c r="B415" s="185" t="s">
        <v>93</v>
      </c>
      <c r="C415" s="376"/>
      <c r="D415" s="185">
        <f>PRODUCT(Лист1!G186,$A$211)</f>
        <v>0.80400000000000005</v>
      </c>
      <c r="E415" s="365">
        <f>Лист1!H186</f>
        <v>142</v>
      </c>
      <c r="F415" s="417">
        <f t="shared" si="31"/>
        <v>114.16800000000001</v>
      </c>
    </row>
    <row r="416" spans="1:6" x14ac:dyDescent="0.25">
      <c r="A416" s="275" t="str">
        <f>'работа 3 добр'!A412</f>
        <v>кабель-канал</v>
      </c>
      <c r="B416" s="185" t="s">
        <v>93</v>
      </c>
      <c r="C416" s="376"/>
      <c r="D416" s="185">
        <f>PRODUCT(Лист1!G187,$A$211)</f>
        <v>2.0100000000000002</v>
      </c>
      <c r="E416" s="365">
        <f>Лист1!H187</f>
        <v>62</v>
      </c>
      <c r="F416" s="417">
        <f t="shared" si="31"/>
        <v>124.62000000000002</v>
      </c>
    </row>
    <row r="417" spans="1:6" x14ac:dyDescent="0.25">
      <c r="A417" s="275" t="str">
        <f>'работа 3 добр'!A413</f>
        <v>ванночка малярная</v>
      </c>
      <c r="B417" s="185" t="s">
        <v>93</v>
      </c>
      <c r="C417" s="376"/>
      <c r="D417" s="185">
        <f>PRODUCT(Лист1!G188,$A$211)</f>
        <v>0.80400000000000005</v>
      </c>
      <c r="E417" s="365">
        <f>Лист1!H188</f>
        <v>50</v>
      </c>
      <c r="F417" s="417">
        <f t="shared" si="31"/>
        <v>40.200000000000003</v>
      </c>
    </row>
    <row r="418" spans="1:6" x14ac:dyDescent="0.25">
      <c r="A418" s="275" t="str">
        <f>'работа 3 добр'!A414</f>
        <v>шайба крановая</v>
      </c>
      <c r="B418" s="185" t="s">
        <v>93</v>
      </c>
      <c r="C418" s="376"/>
      <c r="D418" s="185">
        <f>PRODUCT(Лист1!G189,$A$211)</f>
        <v>8.0400000000000009</v>
      </c>
      <c r="E418" s="365">
        <f>Лист1!H189</f>
        <v>0.3</v>
      </c>
      <c r="F418" s="417">
        <f t="shared" si="31"/>
        <v>2.4120000000000004</v>
      </c>
    </row>
    <row r="419" spans="1:6" x14ac:dyDescent="0.25">
      <c r="A419" s="275" t="str">
        <f>'работа 3 добр'!A415</f>
        <v>эмаль аэрозоль</v>
      </c>
      <c r="B419" s="185" t="s">
        <v>93</v>
      </c>
      <c r="C419" s="376"/>
      <c r="D419" s="185">
        <f>PRODUCT(Лист1!G190,$A$211)</f>
        <v>0.80400000000000005</v>
      </c>
      <c r="E419" s="365">
        <f>Лист1!H190</f>
        <v>193</v>
      </c>
      <c r="F419" s="417">
        <f t="shared" si="31"/>
        <v>155.172</v>
      </c>
    </row>
    <row r="420" spans="1:6" x14ac:dyDescent="0.25">
      <c r="A420" s="275" t="str">
        <f>'работа 3 добр'!A416</f>
        <v>Папка-регистратор</v>
      </c>
      <c r="B420" s="185" t="s">
        <v>93</v>
      </c>
      <c r="C420" s="376"/>
      <c r="D420" s="185">
        <f>PRODUCT(Лист1!G191,$A$211)</f>
        <v>8.8440000000000012</v>
      </c>
      <c r="E420" s="365">
        <f>Лист1!H191</f>
        <v>190</v>
      </c>
      <c r="F420" s="417">
        <f t="shared" si="31"/>
        <v>1680.3600000000001</v>
      </c>
    </row>
    <row r="421" spans="1:6" x14ac:dyDescent="0.25">
      <c r="A421" s="275" t="str">
        <f>'работа 3 добр'!A417</f>
        <v>Блок питания</v>
      </c>
      <c r="B421" s="185" t="s">
        <v>93</v>
      </c>
      <c r="C421" s="376"/>
      <c r="D421" s="185">
        <f>PRODUCT(Лист1!G192,$A$211)</f>
        <v>0.40200000000000002</v>
      </c>
      <c r="E421" s="365">
        <f>Лист1!H192</f>
        <v>8330</v>
      </c>
      <c r="F421" s="417">
        <f t="shared" si="31"/>
        <v>3348.6600000000003</v>
      </c>
    </row>
    <row r="422" spans="1:6" x14ac:dyDescent="0.25">
      <c r="A422" s="275" t="str">
        <f>'работа 3 добр'!A418</f>
        <v>Кабель</v>
      </c>
      <c r="B422" s="185" t="s">
        <v>93</v>
      </c>
      <c r="C422" s="376"/>
      <c r="D422" s="185">
        <f>PRODUCT(Лист1!G193,$A$211)</f>
        <v>1.206</v>
      </c>
      <c r="E422" s="365">
        <f>Лист1!H193</f>
        <v>2570</v>
      </c>
      <c r="F422" s="417">
        <f t="shared" si="31"/>
        <v>3099.42</v>
      </c>
    </row>
    <row r="423" spans="1:6" x14ac:dyDescent="0.25">
      <c r="A423" s="275" t="str">
        <f>'работа 3 добр'!A419</f>
        <v>Карта памяти</v>
      </c>
      <c r="B423" s="185" t="s">
        <v>93</v>
      </c>
      <c r="C423" s="376"/>
      <c r="D423" s="185">
        <f>PRODUCT(Лист1!G194,$A$211)</f>
        <v>0.80400000000000005</v>
      </c>
      <c r="E423" s="365">
        <f>Лист1!H194</f>
        <v>3700</v>
      </c>
      <c r="F423" s="417">
        <f t="shared" si="31"/>
        <v>2974.8</v>
      </c>
    </row>
    <row r="424" spans="1:6" x14ac:dyDescent="0.25">
      <c r="A424" s="275" t="str">
        <f>'работа 3 добр'!A420</f>
        <v>Кабель</v>
      </c>
      <c r="B424" s="185" t="s">
        <v>93</v>
      </c>
      <c r="C424" s="376"/>
      <c r="D424" s="185">
        <f>PRODUCT(Лист1!G195,$A$211)</f>
        <v>0.40200000000000002</v>
      </c>
      <c r="E424" s="365">
        <f>Лист1!H195</f>
        <v>1990</v>
      </c>
      <c r="F424" s="417">
        <f t="shared" si="31"/>
        <v>799.98</v>
      </c>
    </row>
    <row r="425" spans="1:6" x14ac:dyDescent="0.25">
      <c r="A425" s="275" t="str">
        <f>'работа 3 добр'!A421</f>
        <v>Бумага Lomond 230</v>
      </c>
      <c r="B425" s="185" t="s">
        <v>93</v>
      </c>
      <c r="C425" s="376"/>
      <c r="D425" s="185">
        <f>PRODUCT(Лист1!G196,$A$211)</f>
        <v>0.80400000000000005</v>
      </c>
      <c r="E425" s="365">
        <f>Лист1!H196</f>
        <v>430</v>
      </c>
      <c r="F425" s="417">
        <f t="shared" si="31"/>
        <v>345.72</v>
      </c>
    </row>
    <row r="426" spans="1:6" x14ac:dyDescent="0.25">
      <c r="A426" s="275" t="str">
        <f>'работа 3 добр'!A422</f>
        <v>Бумага Lomond 140</v>
      </c>
      <c r="B426" s="185" t="s">
        <v>93</v>
      </c>
      <c r="C426" s="376"/>
      <c r="D426" s="185">
        <f>PRODUCT(Лист1!G197,$A$211)</f>
        <v>0.80400000000000005</v>
      </c>
      <c r="E426" s="365">
        <f>Лист1!H197</f>
        <v>870</v>
      </c>
      <c r="F426" s="417">
        <f t="shared" si="31"/>
        <v>699.48</v>
      </c>
    </row>
    <row r="427" spans="1:6" x14ac:dyDescent="0.25">
      <c r="A427" s="275" t="str">
        <f>'работа 3 добр'!A423</f>
        <v>Бумага Lomond 200</v>
      </c>
      <c r="B427" s="185" t="s">
        <v>93</v>
      </c>
      <c r="C427" s="376"/>
      <c r="D427" s="185">
        <f>PRODUCT(Лист1!G198,$A$211)</f>
        <v>0.80400000000000005</v>
      </c>
      <c r="E427" s="365">
        <f>Лист1!H198</f>
        <v>580</v>
      </c>
      <c r="F427" s="417">
        <f t="shared" si="31"/>
        <v>466.32000000000005</v>
      </c>
    </row>
    <row r="428" spans="1:6" x14ac:dyDescent="0.25">
      <c r="A428" s="275" t="str">
        <f>'работа 3 добр'!A424</f>
        <v>Бумага Cactus 180</v>
      </c>
      <c r="B428" s="185" t="s">
        <v>93</v>
      </c>
      <c r="C428" s="376"/>
      <c r="D428" s="185">
        <f>PRODUCT(Лист1!G199,$A$211)</f>
        <v>0.80400000000000005</v>
      </c>
      <c r="E428" s="365">
        <f>Лист1!H199</f>
        <v>760</v>
      </c>
      <c r="F428" s="417">
        <f t="shared" si="31"/>
        <v>611.04000000000008</v>
      </c>
    </row>
    <row r="429" spans="1:6" x14ac:dyDescent="0.25">
      <c r="A429" s="275" t="str">
        <f>'работа 3 добр'!A425</f>
        <v>Бумага Cactus 230</v>
      </c>
      <c r="B429" s="185" t="s">
        <v>93</v>
      </c>
      <c r="C429" s="376"/>
      <c r="D429" s="185">
        <f>PRODUCT(Лист1!G200,$A$211)</f>
        <v>0.80400000000000005</v>
      </c>
      <c r="E429" s="365">
        <f>Лист1!H200</f>
        <v>810</v>
      </c>
      <c r="F429" s="417">
        <f t="shared" si="31"/>
        <v>651.24</v>
      </c>
    </row>
    <row r="430" spans="1:6" hidden="1" x14ac:dyDescent="0.25">
      <c r="A430" s="275">
        <f>'работа 3 добр'!A426</f>
        <v>0</v>
      </c>
      <c r="B430" s="373"/>
      <c r="C430" s="376"/>
      <c r="D430" s="373"/>
      <c r="E430" s="704"/>
      <c r="F430" s="417"/>
    </row>
    <row r="431" spans="1:6" hidden="1" x14ac:dyDescent="0.25">
      <c r="A431" s="275">
        <f>'работа 3 добр'!A427</f>
        <v>0</v>
      </c>
      <c r="B431" s="373"/>
      <c r="C431" s="376"/>
      <c r="D431" s="373"/>
      <c r="E431" s="704"/>
      <c r="F431" s="417"/>
    </row>
    <row r="432" spans="1:6" hidden="1" x14ac:dyDescent="0.25">
      <c r="A432" s="275">
        <f>'работа 3 добр'!A428</f>
        <v>0</v>
      </c>
      <c r="B432" s="373"/>
      <c r="C432" s="376"/>
      <c r="D432" s="373"/>
      <c r="E432" s="704"/>
      <c r="F432" s="417"/>
    </row>
    <row r="433" spans="1:10" hidden="1" x14ac:dyDescent="0.25">
      <c r="A433" s="275">
        <f>'работа 3 добр'!A429</f>
        <v>0</v>
      </c>
      <c r="B433" s="373"/>
      <c r="C433" s="376"/>
      <c r="D433" s="373"/>
      <c r="E433" s="704"/>
      <c r="F433" s="417"/>
    </row>
    <row r="434" spans="1:10" hidden="1" x14ac:dyDescent="0.25">
      <c r="A434" s="275">
        <f>'работа 3 добр'!A430</f>
        <v>0</v>
      </c>
      <c r="B434" s="373"/>
      <c r="C434" s="376"/>
      <c r="D434" s="373"/>
      <c r="E434" s="704"/>
      <c r="F434" s="417"/>
    </row>
    <row r="435" spans="1:10" hidden="1" x14ac:dyDescent="0.25">
      <c r="A435" s="275">
        <f>'работа 3 добр'!A431</f>
        <v>0</v>
      </c>
      <c r="B435" s="373"/>
      <c r="C435" s="376"/>
      <c r="D435" s="373"/>
      <c r="E435" s="704"/>
      <c r="F435" s="417"/>
    </row>
    <row r="436" spans="1:10" hidden="1" x14ac:dyDescent="0.25">
      <c r="A436" s="275"/>
      <c r="B436" s="373"/>
      <c r="C436" s="376"/>
      <c r="D436" s="373"/>
      <c r="E436" s="704"/>
      <c r="F436" s="417"/>
    </row>
    <row r="437" spans="1:10" hidden="1" x14ac:dyDescent="0.25">
      <c r="A437" s="275"/>
      <c r="B437" s="373"/>
      <c r="C437" s="376"/>
      <c r="D437" s="373"/>
      <c r="E437" s="704"/>
      <c r="F437" s="417"/>
    </row>
    <row r="438" spans="1:10" hidden="1" x14ac:dyDescent="0.25">
      <c r="A438" s="275"/>
      <c r="B438" s="373"/>
      <c r="C438" s="376"/>
      <c r="D438" s="373"/>
      <c r="E438" s="704"/>
      <c r="F438" s="417"/>
    </row>
    <row r="439" spans="1:10" hidden="1" x14ac:dyDescent="0.25">
      <c r="A439" s="275"/>
      <c r="B439" s="373"/>
      <c r="C439" s="376"/>
      <c r="D439" s="373"/>
      <c r="E439" s="704"/>
      <c r="F439" s="417"/>
    </row>
    <row r="440" spans="1:10" hidden="1" x14ac:dyDescent="0.25">
      <c r="A440" s="275"/>
      <c r="B440" s="373"/>
      <c r="C440" s="376"/>
      <c r="D440" s="373"/>
      <c r="E440" s="704"/>
      <c r="F440" s="417"/>
    </row>
    <row r="441" spans="1:10" hidden="1" x14ac:dyDescent="0.25">
      <c r="A441" s="275"/>
      <c r="B441" s="373"/>
      <c r="C441" s="376"/>
      <c r="D441" s="373"/>
      <c r="E441" s="704"/>
      <c r="F441" s="417"/>
    </row>
    <row r="442" spans="1:10" hidden="1" x14ac:dyDescent="0.25">
      <c r="A442" s="275"/>
      <c r="B442" s="373"/>
      <c r="C442" s="376"/>
      <c r="D442" s="373"/>
      <c r="E442" s="704"/>
      <c r="F442" s="417"/>
    </row>
    <row r="443" spans="1:10" hidden="1" x14ac:dyDescent="0.25">
      <c r="A443" s="275"/>
      <c r="B443" s="373"/>
      <c r="C443" s="376"/>
      <c r="D443" s="373"/>
      <c r="E443" s="704"/>
      <c r="F443" s="417"/>
    </row>
    <row r="444" spans="1:10" ht="18.75" x14ac:dyDescent="0.25">
      <c r="A444" s="618" t="s">
        <v>31</v>
      </c>
      <c r="B444" s="619"/>
      <c r="C444" s="619"/>
      <c r="D444" s="619"/>
      <c r="E444" s="620"/>
      <c r="F444" s="170">
        <f>SUM(F215:F443)+0.01</f>
        <v>306384.71199999977</v>
      </c>
      <c r="J444" s="7">
        <v>156207.67000000001</v>
      </c>
    </row>
    <row r="445" spans="1:10" x14ac:dyDescent="0.25">
      <c r="E445" s="183"/>
    </row>
  </sheetData>
  <mergeCells count="143">
    <mergeCell ref="H111:H112"/>
    <mergeCell ref="G111:G112"/>
    <mergeCell ref="F111:F112"/>
    <mergeCell ref="E111:E112"/>
    <mergeCell ref="D111:D112"/>
    <mergeCell ref="D110:H110"/>
    <mergeCell ref="A109:H109"/>
    <mergeCell ref="B36:C38"/>
    <mergeCell ref="D36:E36"/>
    <mergeCell ref="D37:D38"/>
    <mergeCell ref="E37:E38"/>
    <mergeCell ref="F37:F38"/>
    <mergeCell ref="B39:C39"/>
    <mergeCell ref="B40:C40"/>
    <mergeCell ref="B41:C41"/>
    <mergeCell ref="A100:H100"/>
    <mergeCell ref="A101:A103"/>
    <mergeCell ref="B101:C103"/>
    <mergeCell ref="D101:F101"/>
    <mergeCell ref="D102:D103"/>
    <mergeCell ref="A43:B43"/>
    <mergeCell ref="A44:B44"/>
    <mergeCell ref="A45:B45"/>
    <mergeCell ref="A46:B46"/>
    <mergeCell ref="G150:G151"/>
    <mergeCell ref="G160:G161"/>
    <mergeCell ref="G173:G174"/>
    <mergeCell ref="A94:B94"/>
    <mergeCell ref="A95:B95"/>
    <mergeCell ref="A97:B97"/>
    <mergeCell ref="A4:E4"/>
    <mergeCell ref="A5:E5"/>
    <mergeCell ref="A6:E6"/>
    <mergeCell ref="G22:G23"/>
    <mergeCell ref="A93:B93"/>
    <mergeCell ref="A158:F158"/>
    <mergeCell ref="A160:A161"/>
    <mergeCell ref="B160:B161"/>
    <mergeCell ref="D160:D161"/>
    <mergeCell ref="E160:E161"/>
    <mergeCell ref="F160:F161"/>
    <mergeCell ref="A134:E134"/>
    <mergeCell ref="A147:F147"/>
    <mergeCell ref="D150:D151"/>
    <mergeCell ref="A96:B96"/>
    <mergeCell ref="G91:G92"/>
    <mergeCell ref="A153:B153"/>
    <mergeCell ref="A157:B157"/>
    <mergeCell ref="A1:I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181:A182"/>
    <mergeCell ref="B181:B182"/>
    <mergeCell ref="D181:D182"/>
    <mergeCell ref="E181:E182"/>
    <mergeCell ref="F181:F182"/>
    <mergeCell ref="A170:F170"/>
    <mergeCell ref="A171:F171"/>
    <mergeCell ref="A173:A174"/>
    <mergeCell ref="B173:B174"/>
    <mergeCell ref="D173:D174"/>
    <mergeCell ref="E173:E174"/>
    <mergeCell ref="F173:F174"/>
    <mergeCell ref="A179:F179"/>
    <mergeCell ref="A47:B47"/>
    <mergeCell ref="A120:F120"/>
    <mergeCell ref="A125:A126"/>
    <mergeCell ref="B125:B126"/>
    <mergeCell ref="D125:D126"/>
    <mergeCell ref="E125:E126"/>
    <mergeCell ref="F125:F126"/>
    <mergeCell ref="A99:F99"/>
    <mergeCell ref="A49:F49"/>
    <mergeCell ref="A136:F136"/>
    <mergeCell ref="B113:C113"/>
    <mergeCell ref="A91:B92"/>
    <mergeCell ref="A89:F89"/>
    <mergeCell ref="D91:D92"/>
    <mergeCell ref="A98:B98"/>
    <mergeCell ref="A150:B151"/>
    <mergeCell ref="B110:C112"/>
    <mergeCell ref="A110:A112"/>
    <mergeCell ref="E102:E103"/>
    <mergeCell ref="F102:F103"/>
    <mergeCell ref="B104:C104"/>
    <mergeCell ref="A209:E209"/>
    <mergeCell ref="A444:E444"/>
    <mergeCell ref="A123:E123"/>
    <mergeCell ref="B3:G3"/>
    <mergeCell ref="E52:E53"/>
    <mergeCell ref="F52:F53"/>
    <mergeCell ref="A54:B54"/>
    <mergeCell ref="A50:F50"/>
    <mergeCell ref="A52:B53"/>
    <mergeCell ref="D52:D53"/>
    <mergeCell ref="G52:G53"/>
    <mergeCell ref="A210:F210"/>
    <mergeCell ref="A211:F211"/>
    <mergeCell ref="A212:A213"/>
    <mergeCell ref="B212:B213"/>
    <mergeCell ref="D212:D213"/>
    <mergeCell ref="E212:E213"/>
    <mergeCell ref="F212:F213"/>
    <mergeCell ref="A178:F178"/>
    <mergeCell ref="A152:B152"/>
    <mergeCell ref="A35:H35"/>
    <mergeCell ref="A36:A38"/>
    <mergeCell ref="A154:B154"/>
    <mergeCell ref="A155:B155"/>
    <mergeCell ref="B33:C33"/>
    <mergeCell ref="B34:C34"/>
    <mergeCell ref="J3:DS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3" fitToHeight="4" orientation="portrait" r:id="rId1"/>
  <rowBreaks count="2" manualBreakCount="2">
    <brk id="88" max="16383" man="1"/>
    <brk id="17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316"/>
  <sheetViews>
    <sheetView tabSelected="1" topLeftCell="A300" workbookViewId="0">
      <selection sqref="A1:E316"/>
    </sheetView>
  </sheetViews>
  <sheetFormatPr defaultColWidth="8.875" defaultRowHeight="15" x14ac:dyDescent="0.25"/>
  <cols>
    <col min="1" max="1" width="17.75" style="2" customWidth="1"/>
    <col min="2" max="2" width="17.625" style="2" customWidth="1"/>
    <col min="3" max="3" width="28.75" style="2" customWidth="1"/>
    <col min="4" max="4" width="15.125" style="2" customWidth="1"/>
    <col min="5" max="5" width="21.125" style="2" customWidth="1"/>
    <col min="6" max="16384" width="8.875" style="2"/>
  </cols>
  <sheetData>
    <row r="1" spans="1:5" ht="219.75" customHeight="1" x14ac:dyDescent="0.25">
      <c r="D1" s="442" t="str">
        <f>'натур показатели 3 работа'!D1:E1</f>
        <v xml:space="preserve">Приложение №1 к приложению 1  к Приказу отдела физической культуры, спорта и молодежной политики Северо-Енисейского района от  06.05.2019 № 27-ОС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</v>
      </c>
      <c r="E1" s="442"/>
    </row>
    <row r="3" spans="1:5" x14ac:dyDescent="0.25">
      <c r="A3" s="592" t="s">
        <v>149</v>
      </c>
      <c r="B3" s="592"/>
      <c r="C3" s="592"/>
      <c r="D3" s="592"/>
      <c r="E3" s="592"/>
    </row>
    <row r="4" spans="1:5" ht="12.6" customHeight="1" x14ac:dyDescent="0.25">
      <c r="A4" s="593" t="s">
        <v>173</v>
      </c>
      <c r="B4" s="593"/>
      <c r="C4" s="593"/>
      <c r="D4" s="593"/>
      <c r="E4" s="593"/>
    </row>
    <row r="5" spans="1:5" ht="60" x14ac:dyDescent="0.25">
      <c r="A5" s="145" t="s">
        <v>150</v>
      </c>
      <c r="B5" s="68" t="s">
        <v>151</v>
      </c>
      <c r="C5" s="145" t="s">
        <v>152</v>
      </c>
      <c r="D5" s="145" t="s">
        <v>153</v>
      </c>
      <c r="E5" s="145" t="s">
        <v>154</v>
      </c>
    </row>
    <row r="6" spans="1:5" x14ac:dyDescent="0.25">
      <c r="A6" s="146">
        <v>1</v>
      </c>
      <c r="B6" s="146">
        <v>2</v>
      </c>
      <c r="C6" s="146">
        <v>3</v>
      </c>
      <c r="D6" s="146">
        <v>4</v>
      </c>
      <c r="E6" s="146">
        <v>5</v>
      </c>
    </row>
    <row r="7" spans="1:5" ht="37.15" customHeight="1" x14ac:dyDescent="0.25">
      <c r="A7" s="601" t="s">
        <v>147</v>
      </c>
      <c r="B7" s="600" t="s">
        <v>177</v>
      </c>
      <c r="C7" s="594" t="s">
        <v>155</v>
      </c>
      <c r="D7" s="595"/>
      <c r="E7" s="596"/>
    </row>
    <row r="8" spans="1:5" ht="14.45" customHeight="1" x14ac:dyDescent="0.25">
      <c r="A8" s="601"/>
      <c r="B8" s="600"/>
      <c r="C8" s="597" t="s">
        <v>156</v>
      </c>
      <c r="D8" s="598"/>
      <c r="E8" s="599"/>
    </row>
    <row r="9" spans="1:5" ht="12" customHeight="1" x14ac:dyDescent="0.25">
      <c r="A9" s="601"/>
      <c r="B9" s="600"/>
      <c r="C9" s="119" t="s">
        <v>163</v>
      </c>
      <c r="D9" s="147" t="s">
        <v>157</v>
      </c>
      <c r="E9" s="322">
        <f>'работа 1 иниц'!D25</f>
        <v>1.4727999999999999</v>
      </c>
    </row>
    <row r="10" spans="1:5" ht="12" customHeight="1" x14ac:dyDescent="0.25">
      <c r="A10" s="601"/>
      <c r="B10" s="600"/>
      <c r="C10" s="119" t="s">
        <v>108</v>
      </c>
      <c r="D10" s="148" t="s">
        <v>157</v>
      </c>
      <c r="E10" s="322">
        <f>'работа 1 иниц'!D24</f>
        <v>0.26300000000000001</v>
      </c>
    </row>
    <row r="11" spans="1:5" ht="12" customHeight="1" x14ac:dyDescent="0.25">
      <c r="A11" s="601"/>
      <c r="B11" s="600"/>
      <c r="C11" s="608" t="s">
        <v>167</v>
      </c>
      <c r="D11" s="609"/>
      <c r="E11" s="610"/>
    </row>
    <row r="12" spans="1:5" ht="40.15" customHeight="1" x14ac:dyDescent="0.25">
      <c r="A12" s="601"/>
      <c r="B12" s="600"/>
      <c r="C12" s="133" t="s">
        <v>78</v>
      </c>
      <c r="D12" s="111" t="s">
        <v>39</v>
      </c>
      <c r="E12" s="321">
        <f>'работа 1 иниц'!E48</f>
        <v>0.26300000000000001</v>
      </c>
    </row>
    <row r="13" spans="1:5" ht="24.6" customHeight="1" x14ac:dyDescent="0.25">
      <c r="A13" s="601"/>
      <c r="B13" s="600"/>
      <c r="C13" s="133" t="s">
        <v>88</v>
      </c>
      <c r="D13" s="111" t="s">
        <v>39</v>
      </c>
      <c r="E13" s="321">
        <f>'работа 1 иниц'!E49</f>
        <v>0.26300000000000001</v>
      </c>
    </row>
    <row r="14" spans="1:5" ht="23.45" customHeight="1" x14ac:dyDescent="0.25">
      <c r="A14" s="601"/>
      <c r="B14" s="600"/>
      <c r="C14" s="133" t="s">
        <v>40</v>
      </c>
      <c r="D14" s="111" t="s">
        <v>39</v>
      </c>
      <c r="E14" s="321">
        <f>'работа 1 иниц'!E50</f>
        <v>0.26300000000000001</v>
      </c>
    </row>
    <row r="15" spans="1:5" ht="22.9" customHeight="1" x14ac:dyDescent="0.25">
      <c r="A15" s="601"/>
      <c r="B15" s="600"/>
      <c r="C15" s="611" t="s">
        <v>168</v>
      </c>
      <c r="D15" s="612"/>
      <c r="E15" s="613"/>
    </row>
    <row r="16" spans="1:5" ht="30" customHeight="1" x14ac:dyDescent="0.25">
      <c r="A16" s="601"/>
      <c r="B16" s="600"/>
      <c r="C16" s="142" t="str">
        <f>'работа 1 иниц'!A82</f>
        <v>Суточные (4 суток)</v>
      </c>
      <c r="D16" s="102" t="s">
        <v>141</v>
      </c>
      <c r="E16" s="106">
        <f>'работа 1 иниц'!E82</f>
        <v>3</v>
      </c>
    </row>
    <row r="17" spans="1:5" ht="12" customHeight="1" x14ac:dyDescent="0.25">
      <c r="A17" s="601"/>
      <c r="B17" s="600"/>
      <c r="C17" s="142" t="str">
        <f>'работа 1 иниц'!A83</f>
        <v>Участие команды района в окружном этапе военно-спортивной игры "Сибирский щит"</v>
      </c>
      <c r="D17" s="102" t="s">
        <v>145</v>
      </c>
      <c r="E17" s="96">
        <f>'работа 1 иниц'!E83</f>
        <v>0</v>
      </c>
    </row>
    <row r="18" spans="1:5" ht="12" customHeight="1" x14ac:dyDescent="0.25">
      <c r="A18" s="601"/>
      <c r="B18" s="600"/>
      <c r="C18" s="142" t="str">
        <f>'работа 1 иниц'!A84</f>
        <v xml:space="preserve"> проезд подростков и сопровождающего от школы</v>
      </c>
      <c r="D18" s="102" t="s">
        <v>145</v>
      </c>
      <c r="E18" s="96">
        <f>'работа 1 иниц'!E84</f>
        <v>9</v>
      </c>
    </row>
    <row r="19" spans="1:5" ht="12" customHeight="1" x14ac:dyDescent="0.25">
      <c r="A19" s="601"/>
      <c r="B19" s="600"/>
      <c r="C19" s="142" t="str">
        <f>'работа 1 иниц'!A85</f>
        <v>Проживание 4 суток</v>
      </c>
      <c r="D19" s="102" t="s">
        <v>143</v>
      </c>
      <c r="E19" s="96">
        <f>'работа 1 иниц'!E85</f>
        <v>10</v>
      </c>
    </row>
    <row r="20" spans="1:5" ht="12" customHeight="1" x14ac:dyDescent="0.25">
      <c r="A20" s="601"/>
      <c r="B20" s="600"/>
      <c r="C20" s="142" t="str">
        <f>'работа 1 иниц'!A86</f>
        <v>Суточные (4 суток)</v>
      </c>
      <c r="D20" s="102" t="s">
        <v>143</v>
      </c>
      <c r="E20" s="96">
        <f>'работа 1 иниц'!E86</f>
        <v>9</v>
      </c>
    </row>
    <row r="21" spans="1:5" ht="12" customHeight="1" x14ac:dyDescent="0.25">
      <c r="A21" s="601"/>
      <c r="B21" s="600"/>
      <c r="C21" s="142" t="str">
        <f>'работа 1 иниц'!A87</f>
        <v>Участие подростков, участников ВПК в сдаче на право ношения спецжетона КРОО "Ветераны Спецназа" г. Красноярск</v>
      </c>
      <c r="D21" s="102" t="s">
        <v>93</v>
      </c>
      <c r="E21" s="96">
        <f>'работа 1 иниц'!E87</f>
        <v>0</v>
      </c>
    </row>
    <row r="22" spans="1:5" ht="12" customHeight="1" x14ac:dyDescent="0.25">
      <c r="A22" s="601"/>
      <c r="B22" s="600"/>
      <c r="C22" s="142" t="str">
        <f>'работа 1 иниц'!A88</f>
        <v xml:space="preserve"> проезд подростков и сопровождающего от школы</v>
      </c>
      <c r="D22" s="102" t="s">
        <v>142</v>
      </c>
      <c r="E22" s="96">
        <f>'работа 1 иниц'!E88</f>
        <v>3</v>
      </c>
    </row>
    <row r="23" spans="1:5" ht="12" customHeight="1" x14ac:dyDescent="0.25">
      <c r="A23" s="601"/>
      <c r="B23" s="600"/>
      <c r="C23" s="142" t="str">
        <f>'работа 1 иниц'!A89</f>
        <v>Проживание 3 суток</v>
      </c>
      <c r="D23" s="102" t="s">
        <v>143</v>
      </c>
      <c r="E23" s="96">
        <f>'работа 1 иниц'!E89</f>
        <v>3</v>
      </c>
    </row>
    <row r="24" spans="1:5" ht="12" customHeight="1" x14ac:dyDescent="0.25">
      <c r="A24" s="601"/>
      <c r="B24" s="600"/>
      <c r="C24" s="142" t="str">
        <f>'работа 1 иниц'!A90</f>
        <v>Суточные (3 подростков)</v>
      </c>
      <c r="D24" s="102" t="s">
        <v>142</v>
      </c>
      <c r="E24" s="96">
        <f>'работа 1 иниц'!E90</f>
        <v>3</v>
      </c>
    </row>
    <row r="25" spans="1:5" ht="12" customHeight="1" x14ac:dyDescent="0.25">
      <c r="A25" s="601"/>
      <c r="B25" s="600"/>
      <c r="C25" s="142" t="str">
        <f>'работа 1 иниц'!A91</f>
        <v xml:space="preserve">Участие молодежи района в весенней Вахте Памяти </v>
      </c>
      <c r="D25" s="102" t="s">
        <v>142</v>
      </c>
      <c r="E25" s="96">
        <f>'работа 1 иниц'!E91</f>
        <v>0</v>
      </c>
    </row>
    <row r="26" spans="1:5" ht="12" customHeight="1" x14ac:dyDescent="0.25">
      <c r="A26" s="601"/>
      <c r="B26" s="600"/>
      <c r="C26" s="142" t="str">
        <f>'работа 1 иниц'!A92</f>
        <v xml:space="preserve"> проезд подростков</v>
      </c>
      <c r="D26" s="102" t="s">
        <v>142</v>
      </c>
      <c r="E26" s="96">
        <f>'работа 1 иниц'!E92</f>
        <v>3</v>
      </c>
    </row>
    <row r="27" spans="1:5" ht="12" customHeight="1" x14ac:dyDescent="0.25">
      <c r="A27" s="601"/>
      <c r="B27" s="600"/>
      <c r="C27" s="142" t="str">
        <f>'работа 1 иниц'!A93</f>
        <v>Проживание 6 суток</v>
      </c>
      <c r="D27" s="102" t="s">
        <v>93</v>
      </c>
      <c r="E27" s="96">
        <f>'работа 1 иниц'!E93</f>
        <v>3</v>
      </c>
    </row>
    <row r="28" spans="1:5" ht="12" customHeight="1" x14ac:dyDescent="0.25">
      <c r="A28" s="601"/>
      <c r="B28" s="600"/>
      <c r="C28" s="142" t="str">
        <f>'работа 1 иниц'!A94</f>
        <v>Суточные (3 подростков)</v>
      </c>
      <c r="D28" s="102" t="s">
        <v>93</v>
      </c>
      <c r="E28" s="96">
        <f>'работа 1 иниц'!E94</f>
        <v>3</v>
      </c>
    </row>
    <row r="29" spans="1:5" ht="12" customHeight="1" x14ac:dyDescent="0.25">
      <c r="A29" s="601"/>
      <c r="B29" s="600"/>
      <c r="C29" s="142" t="str">
        <f>'работа 1 иниц'!A95</f>
        <v>Приобретение экипировки для участников Вахты Памяти</v>
      </c>
      <c r="D29" s="102" t="s">
        <v>93</v>
      </c>
      <c r="E29" s="96">
        <f>'работа 1 иниц'!E95</f>
        <v>4</v>
      </c>
    </row>
    <row r="30" spans="1:5" ht="12" customHeight="1" x14ac:dyDescent="0.25">
      <c r="A30" s="601"/>
      <c r="B30" s="600"/>
      <c r="C30" s="142" t="str">
        <f>'работа 1 иниц'!A96</f>
        <v>Участие молодежи района в полевом лагере ЕРМАК (Ермаковский район)</v>
      </c>
      <c r="D30" s="102" t="s">
        <v>121</v>
      </c>
      <c r="E30" s="96">
        <f>'работа 1 иниц'!E96</f>
        <v>0</v>
      </c>
    </row>
    <row r="31" spans="1:5" ht="12" customHeight="1" x14ac:dyDescent="0.25">
      <c r="A31" s="601"/>
      <c r="B31" s="600"/>
      <c r="C31" s="142" t="str">
        <f>'работа 1 иниц'!A97</f>
        <v xml:space="preserve"> проезд подростков</v>
      </c>
      <c r="D31" s="102" t="s">
        <v>93</v>
      </c>
      <c r="E31" s="96">
        <f>'работа 1 иниц'!E97</f>
        <v>3</v>
      </c>
    </row>
    <row r="32" spans="1:5" ht="12" customHeight="1" x14ac:dyDescent="0.25">
      <c r="A32" s="601"/>
      <c r="B32" s="600"/>
      <c r="C32" s="142" t="str">
        <f>'работа 1 иниц'!A98</f>
        <v>Проживание 3 суток</v>
      </c>
      <c r="D32" s="102" t="s">
        <v>93</v>
      </c>
      <c r="E32" s="96">
        <f>'работа 1 иниц'!E98</f>
        <v>6</v>
      </c>
    </row>
    <row r="33" spans="1:5" ht="12" customHeight="1" x14ac:dyDescent="0.25">
      <c r="A33" s="601"/>
      <c r="B33" s="600"/>
      <c r="C33" s="142" t="str">
        <f>'работа 1 иниц'!A99</f>
        <v>Суточные (3 подростков)</v>
      </c>
      <c r="D33" s="102" t="s">
        <v>144</v>
      </c>
      <c r="E33" s="96">
        <f>'работа 1 иниц'!E99</f>
        <v>6</v>
      </c>
    </row>
    <row r="34" spans="1:5" ht="12" customHeight="1" x14ac:dyDescent="0.25">
      <c r="A34" s="601"/>
      <c r="B34" s="600"/>
      <c r="C34" s="142" t="str">
        <f>'работа 1 иниц'!A100</f>
        <v>Организация работы "Трудовых отрядов старшеклассников"</v>
      </c>
      <c r="D34" s="102" t="s">
        <v>93</v>
      </c>
      <c r="E34" s="96">
        <f>'работа 1 иниц'!E100</f>
        <v>0</v>
      </c>
    </row>
    <row r="35" spans="1:5" ht="12" customHeight="1" x14ac:dyDescent="0.25">
      <c r="A35" s="601"/>
      <c r="B35" s="600"/>
      <c r="C35" s="142" t="str">
        <f>'работа 1 иниц'!A101</f>
        <v>Перчатки</v>
      </c>
      <c r="D35" s="102" t="s">
        <v>144</v>
      </c>
      <c r="E35" s="96">
        <f>'работа 1 иниц'!E101</f>
        <v>90</v>
      </c>
    </row>
    <row r="36" spans="1:5" ht="12" customHeight="1" x14ac:dyDescent="0.25">
      <c r="A36" s="601"/>
      <c r="B36" s="600"/>
      <c r="C36" s="142" t="str">
        <f>'работа 1 иниц'!A102</f>
        <v>Дождевики</v>
      </c>
      <c r="D36" s="102" t="s">
        <v>93</v>
      </c>
      <c r="E36" s="96">
        <f>'работа 1 иниц'!E102</f>
        <v>40</v>
      </c>
    </row>
    <row r="37" spans="1:5" ht="12" customHeight="1" x14ac:dyDescent="0.25">
      <c r="A37" s="601"/>
      <c r="B37" s="600"/>
      <c r="C37" s="142" t="str">
        <f>'работа 1 иниц'!A103</f>
        <v>Сувениры</v>
      </c>
      <c r="D37" s="102" t="s">
        <v>122</v>
      </c>
      <c r="E37" s="96">
        <f>'работа 1 иниц'!E103</f>
        <v>40</v>
      </c>
    </row>
    <row r="38" spans="1:5" ht="12" customHeight="1" x14ac:dyDescent="0.25">
      <c r="A38" s="601"/>
      <c r="B38" s="600"/>
      <c r="C38" s="142" t="str">
        <f>'работа 1 иниц'!A104</f>
        <v>Чемпионат добровольческих отрядов</v>
      </c>
      <c r="D38" s="102" t="s">
        <v>122</v>
      </c>
      <c r="E38" s="96">
        <f>'работа 1 иниц'!E104</f>
        <v>0</v>
      </c>
    </row>
    <row r="39" spans="1:5" ht="12" customHeight="1" x14ac:dyDescent="0.25">
      <c r="A39" s="601"/>
      <c r="B39" s="600"/>
      <c r="C39" s="142" t="str">
        <f>'работа 1 иниц'!A105</f>
        <v>Футболки</v>
      </c>
      <c r="D39" s="102" t="s">
        <v>93</v>
      </c>
      <c r="E39" s="96">
        <f>'работа 1 иниц'!E105</f>
        <v>40</v>
      </c>
    </row>
    <row r="40" spans="1:5" ht="12" customHeight="1" x14ac:dyDescent="0.25">
      <c r="A40" s="601"/>
      <c r="B40" s="600"/>
      <c r="C40" s="142" t="str">
        <f>'работа 1 иниц'!A106</f>
        <v xml:space="preserve">Сувенирная продукция </v>
      </c>
      <c r="D40" s="102" t="s">
        <v>93</v>
      </c>
      <c r="E40" s="96">
        <f>'работа 1 иниц'!E106</f>
        <v>30</v>
      </c>
    </row>
    <row r="41" spans="1:5" ht="12" customHeight="1" x14ac:dyDescent="0.25">
      <c r="A41" s="601"/>
      <c r="B41" s="600"/>
      <c r="C41" s="142" t="str">
        <f>'работа 1 иниц'!A107</f>
        <v>Расходные материалы для проведения мероприятий в течение года</v>
      </c>
      <c r="D41" s="102" t="s">
        <v>93</v>
      </c>
      <c r="E41" s="96">
        <f>'работа 1 иниц'!E107</f>
        <v>0</v>
      </c>
    </row>
    <row r="42" spans="1:5" ht="12" customHeight="1" x14ac:dyDescent="0.25">
      <c r="A42" s="601"/>
      <c r="B42" s="600"/>
      <c r="C42" s="142" t="str">
        <f>'работа 1 иниц'!A108</f>
        <v>Рамки для дипломов, А4</v>
      </c>
      <c r="D42" s="102" t="s">
        <v>93</v>
      </c>
      <c r="E42" s="96">
        <f>'работа 1 иниц'!E108</f>
        <v>89</v>
      </c>
    </row>
    <row r="43" spans="1:5" ht="12" customHeight="1" x14ac:dyDescent="0.25">
      <c r="A43" s="601"/>
      <c r="B43" s="600"/>
      <c r="C43" s="614" t="s">
        <v>158</v>
      </c>
      <c r="D43" s="615"/>
      <c r="E43" s="616"/>
    </row>
    <row r="44" spans="1:5" ht="14.45" customHeight="1" x14ac:dyDescent="0.25">
      <c r="A44" s="601"/>
      <c r="B44" s="600"/>
      <c r="C44" s="614" t="s">
        <v>159</v>
      </c>
      <c r="D44" s="615"/>
      <c r="E44" s="616"/>
    </row>
    <row r="45" spans="1:5" ht="14.45" customHeight="1" x14ac:dyDescent="0.25">
      <c r="A45" s="601"/>
      <c r="B45" s="600"/>
      <c r="C45" s="149" t="str">
        <f>'натур показатели 2 работа'!C52</f>
        <v>Теплоэнергия</v>
      </c>
      <c r="D45" s="150" t="str">
        <f>'натур показатели 2 работа'!D52</f>
        <v>Гкал</v>
      </c>
      <c r="E45" s="151">
        <f>'работа 1 иниц'!D149</f>
        <v>14.465</v>
      </c>
    </row>
    <row r="46" spans="1:5" ht="14.45" customHeight="1" x14ac:dyDescent="0.25">
      <c r="A46" s="601"/>
      <c r="B46" s="600"/>
      <c r="C46" s="149" t="str">
        <f>'натур показатели 2 работа'!C53</f>
        <v>Водоснабжение 1 полугодие</v>
      </c>
      <c r="D46" s="150" t="str">
        <f>'натур показатели 2 работа'!D53</f>
        <v>м3</v>
      </c>
      <c r="E46" s="151">
        <f>'работа 1 иниц'!D150</f>
        <v>27.956900000000001</v>
      </c>
    </row>
    <row r="47" spans="1:5" ht="14.45" customHeight="1" x14ac:dyDescent="0.25">
      <c r="A47" s="601"/>
      <c r="B47" s="600"/>
      <c r="C47" s="149" t="str">
        <f>'натур показатели 2 работа'!C54</f>
        <v>Водоснабжение 2 полугодие</v>
      </c>
      <c r="D47" s="150" t="str">
        <f>'натур показатели 2 работа'!D54</f>
        <v>м3</v>
      </c>
      <c r="E47" s="151">
        <f>'работа 1 иниц'!D151</f>
        <v>27.956900000000001</v>
      </c>
    </row>
    <row r="48" spans="1:5" ht="14.45" customHeight="1" x14ac:dyDescent="0.25">
      <c r="A48" s="601"/>
      <c r="B48" s="600"/>
      <c r="C48" s="149" t="str">
        <f>'натур показатели 2 работа'!C55</f>
        <v>Электроэнергия</v>
      </c>
      <c r="D48" s="150" t="str">
        <f>'натур показатели 2 работа'!D55</f>
        <v>КВТ/ч</v>
      </c>
      <c r="E48" s="151">
        <f>'работа 1 иниц'!D152</f>
        <v>2.7246799999999998</v>
      </c>
    </row>
    <row r="49" spans="1:5" ht="14.45" customHeight="1" x14ac:dyDescent="0.25">
      <c r="A49" s="601"/>
      <c r="B49" s="600"/>
      <c r="C49" s="149" t="str">
        <f>'натур показатели 2 работа'!C56</f>
        <v>Водоотведение (септик)  откачка асс. машиной 6 раз в год</v>
      </c>
      <c r="D49" s="150" t="str">
        <f>'натур показатели 2 работа'!D56</f>
        <v>дог</v>
      </c>
      <c r="E49" s="151">
        <f>'работа 1 иниц'!D153</f>
        <v>3.1560000000000001</v>
      </c>
    </row>
    <row r="50" spans="1:5" ht="14.45" customHeight="1" x14ac:dyDescent="0.25">
      <c r="A50" s="601"/>
      <c r="B50" s="600"/>
      <c r="C50" s="149" t="str">
        <f>'натур показатели 2 работа'!C57</f>
        <v>ТКО</v>
      </c>
      <c r="D50" s="150" t="str">
        <f>'натур показатели 2 работа'!D57</f>
        <v>м3</v>
      </c>
      <c r="E50" s="151">
        <f>'работа 1 иниц'!D154</f>
        <v>0.95626800000000012</v>
      </c>
    </row>
    <row r="51" spans="1:5" ht="37.5" customHeight="1" x14ac:dyDescent="0.25">
      <c r="A51" s="601"/>
      <c r="B51" s="600"/>
      <c r="C51" s="602" t="s">
        <v>160</v>
      </c>
      <c r="D51" s="603"/>
      <c r="E51" s="604"/>
    </row>
    <row r="52" spans="1:5" ht="23.25" customHeight="1" x14ac:dyDescent="0.25">
      <c r="A52" s="601"/>
      <c r="B52" s="600"/>
      <c r="C52" s="426" t="str">
        <f>'работа 1 иниц'!A201</f>
        <v xml:space="preserve">Обслуживание систем пожарной сигнализации  </v>
      </c>
      <c r="D52" s="150" t="s">
        <v>22</v>
      </c>
      <c r="E52" s="427">
        <f>'работа 1 иниц'!D201</f>
        <v>3.1560000000000001</v>
      </c>
    </row>
    <row r="53" spans="1:5" ht="15" customHeight="1" x14ac:dyDescent="0.25">
      <c r="A53" s="601"/>
      <c r="B53" s="600"/>
      <c r="C53" s="426" t="str">
        <f>'работа 1 иниц'!A202</f>
        <v xml:space="preserve">Уборка территории от снега </v>
      </c>
      <c r="D53" s="150" t="s">
        <v>22</v>
      </c>
      <c r="E53" s="427">
        <f>'работа 1 иниц'!D202</f>
        <v>0.52600000000000002</v>
      </c>
    </row>
    <row r="54" spans="1:5" ht="15" customHeight="1" x14ac:dyDescent="0.25">
      <c r="A54" s="601"/>
      <c r="B54" s="600"/>
      <c r="C54" s="426" t="str">
        <f>'работа 1 иниц'!A203</f>
        <v>Профилактическая дезинфекция</v>
      </c>
      <c r="D54" s="150" t="s">
        <v>22</v>
      </c>
      <c r="E54" s="427">
        <f>'работа 1 иниц'!D203</f>
        <v>0.26300000000000001</v>
      </c>
    </row>
    <row r="55" spans="1:5" ht="15" customHeight="1" x14ac:dyDescent="0.25">
      <c r="A55" s="601"/>
      <c r="B55" s="600"/>
      <c r="C55" s="426" t="str">
        <f>'работа 1 иниц'!A204</f>
        <v>Комплексное обслуживание системы тепловодоснабжения и конструктивных элементов здания</v>
      </c>
      <c r="D55" s="150" t="s">
        <v>22</v>
      </c>
      <c r="E55" s="427">
        <f>'работа 1 иниц'!D204</f>
        <v>0.26300000000000001</v>
      </c>
    </row>
    <row r="56" spans="1:5" ht="15" customHeight="1" x14ac:dyDescent="0.25">
      <c r="A56" s="601"/>
      <c r="B56" s="600"/>
      <c r="C56" s="426" t="str">
        <f>'работа 1 иниц'!A205</f>
        <v>Договор ТО автомобиля</v>
      </c>
      <c r="D56" s="150" t="s">
        <v>22</v>
      </c>
      <c r="E56" s="427">
        <f>'работа 1 иниц'!D205</f>
        <v>0.26300000000000001</v>
      </c>
    </row>
    <row r="57" spans="1:5" ht="15" customHeight="1" x14ac:dyDescent="0.25">
      <c r="A57" s="601"/>
      <c r="B57" s="600"/>
      <c r="C57" s="426" t="str">
        <f>'работа 1 иниц'!A206</f>
        <v>Восстановительные работы по а/м Хёндай (остаток не под контрактом)</v>
      </c>
      <c r="D57" s="150" t="s">
        <v>22</v>
      </c>
      <c r="E57" s="427">
        <f>'работа 1 иниц'!D206</f>
        <v>0.26300000000000001</v>
      </c>
    </row>
    <row r="58" spans="1:5" ht="15" customHeight="1" x14ac:dyDescent="0.25">
      <c r="A58" s="601"/>
      <c r="B58" s="600"/>
      <c r="C58" s="426" t="str">
        <f>'работа 1 иниц'!A207</f>
        <v>Покраска переднего бампера</v>
      </c>
      <c r="D58" s="150" t="s">
        <v>22</v>
      </c>
      <c r="E58" s="427">
        <f>'работа 1 иниц'!D207</f>
        <v>0.26300000000000001</v>
      </c>
    </row>
    <row r="59" spans="1:5" ht="15" customHeight="1" x14ac:dyDescent="0.25">
      <c r="A59" s="601"/>
      <c r="B59" s="600"/>
      <c r="C59" s="426" t="str">
        <f>'работа 1 иниц'!A208</f>
        <v>Покраска капота</v>
      </c>
      <c r="D59" s="150" t="s">
        <v>22</v>
      </c>
      <c r="E59" s="427">
        <f>'работа 1 иниц'!D208</f>
        <v>0.26300000000000001</v>
      </c>
    </row>
    <row r="60" spans="1:5" ht="15" customHeight="1" x14ac:dyDescent="0.25">
      <c r="A60" s="601"/>
      <c r="B60" s="600"/>
      <c r="C60" s="426" t="str">
        <f>'работа 1 иниц'!A209</f>
        <v>Покраска переднего левого крыла</v>
      </c>
      <c r="D60" s="150" t="s">
        <v>22</v>
      </c>
      <c r="E60" s="427">
        <f>'работа 1 иниц'!D209</f>
        <v>0.26300000000000001</v>
      </c>
    </row>
    <row r="61" spans="1:5" ht="15" customHeight="1" x14ac:dyDescent="0.25">
      <c r="A61" s="601"/>
      <c r="B61" s="600"/>
      <c r="C61" s="426" t="str">
        <f>'работа 1 иниц'!A210</f>
        <v>Покраска переднего правого крыла</v>
      </c>
      <c r="D61" s="150" t="s">
        <v>22</v>
      </c>
      <c r="E61" s="427">
        <f>'работа 1 иниц'!D210</f>
        <v>0.26300000000000001</v>
      </c>
    </row>
    <row r="62" spans="1:5" ht="15" customHeight="1" x14ac:dyDescent="0.25">
      <c r="A62" s="601"/>
      <c r="B62" s="600"/>
      <c r="C62" s="426" t="str">
        <f>'работа 1 иниц'!A211</f>
        <v>Покраска передней левой двери</v>
      </c>
      <c r="D62" s="150" t="s">
        <v>22</v>
      </c>
      <c r="E62" s="427">
        <f>'работа 1 иниц'!D211</f>
        <v>0.26300000000000001</v>
      </c>
    </row>
    <row r="63" spans="1:5" ht="15" customHeight="1" x14ac:dyDescent="0.25">
      <c r="A63" s="601"/>
      <c r="B63" s="600"/>
      <c r="C63" s="426" t="str">
        <f>'работа 1 иниц'!A212</f>
        <v>Покраска двери передней правой</v>
      </c>
      <c r="D63" s="150" t="s">
        <v>22</v>
      </c>
      <c r="E63" s="427">
        <f>'работа 1 иниц'!D212</f>
        <v>0.26300000000000001</v>
      </c>
    </row>
    <row r="64" spans="1:5" ht="15" customHeight="1" x14ac:dyDescent="0.25">
      <c r="A64" s="601"/>
      <c r="B64" s="600"/>
      <c r="C64" s="426" t="str">
        <f>'работа 1 иниц'!A213</f>
        <v>Покраска стойки правой</v>
      </c>
      <c r="D64" s="150" t="s">
        <v>22</v>
      </c>
      <c r="E64" s="427">
        <f>'работа 1 иниц'!D213</f>
        <v>0.26300000000000001</v>
      </c>
    </row>
    <row r="65" spans="1:5" ht="15" customHeight="1" x14ac:dyDescent="0.25">
      <c r="A65" s="601"/>
      <c r="B65" s="600"/>
      <c r="C65" s="426" t="str">
        <f>'работа 1 иниц'!A214</f>
        <v>Ремонт заднего бампера</v>
      </c>
      <c r="D65" s="150" t="s">
        <v>22</v>
      </c>
      <c r="E65" s="427">
        <f>'работа 1 иниц'!D214</f>
        <v>0.26300000000000001</v>
      </c>
    </row>
    <row r="66" spans="1:5" ht="15" customHeight="1" x14ac:dyDescent="0.25">
      <c r="A66" s="601"/>
      <c r="B66" s="600"/>
      <c r="C66" s="426" t="str">
        <f>'работа 1 иниц'!A215</f>
        <v>Покраска заднего бампера</v>
      </c>
      <c r="D66" s="150" t="s">
        <v>22</v>
      </c>
      <c r="E66" s="427">
        <f>'работа 1 иниц'!D215</f>
        <v>0.26300000000000001</v>
      </c>
    </row>
    <row r="67" spans="1:5" ht="15" customHeight="1" x14ac:dyDescent="0.25">
      <c r="A67" s="601"/>
      <c r="B67" s="600"/>
      <c r="C67" s="426" t="str">
        <f>'работа 1 иниц'!A216</f>
        <v>Полировка кузова</v>
      </c>
      <c r="D67" s="150" t="s">
        <v>22</v>
      </c>
      <c r="E67" s="427">
        <f>'работа 1 иниц'!D216</f>
        <v>0.26300000000000001</v>
      </c>
    </row>
    <row r="68" spans="1:5" ht="15" customHeight="1" x14ac:dyDescent="0.25">
      <c r="A68" s="601"/>
      <c r="B68" s="600"/>
      <c r="C68" s="426" t="str">
        <f>'работа 1 иниц'!A217</f>
        <v>Покраска крышки багажника</v>
      </c>
      <c r="D68" s="150" t="s">
        <v>22</v>
      </c>
      <c r="E68" s="427">
        <f>'работа 1 иниц'!D217</f>
        <v>0.26300000000000001</v>
      </c>
    </row>
    <row r="69" spans="1:5" ht="15" customHeight="1" x14ac:dyDescent="0.25">
      <c r="A69" s="601"/>
      <c r="B69" s="600"/>
      <c r="C69" s="426" t="str">
        <f>'работа 1 иниц'!A218</f>
        <v>Полировка стекол со снятием</v>
      </c>
      <c r="D69" s="150" t="s">
        <v>22</v>
      </c>
      <c r="E69" s="427">
        <f>'работа 1 иниц'!D218</f>
        <v>0.26300000000000001</v>
      </c>
    </row>
    <row r="70" spans="1:5" ht="15" customHeight="1" x14ac:dyDescent="0.25">
      <c r="A70" s="601"/>
      <c r="B70" s="600"/>
      <c r="C70" s="426" t="str">
        <f>'работа 1 иниц'!A219</f>
        <v>Слесарные работы по восстановлению сидений</v>
      </c>
      <c r="D70" s="150" t="s">
        <v>22</v>
      </c>
      <c r="E70" s="427">
        <f>'работа 1 иниц'!D219</f>
        <v>0.26300000000000001</v>
      </c>
    </row>
    <row r="71" spans="1:5" ht="12" customHeight="1" x14ac:dyDescent="0.25">
      <c r="A71" s="601"/>
      <c r="B71" s="600"/>
      <c r="C71" s="426" t="str">
        <f>'работа 1 иниц'!A220</f>
        <v>Ремонт электрогитары</v>
      </c>
      <c r="D71" s="150" t="s">
        <v>22</v>
      </c>
      <c r="E71" s="427">
        <f>'работа 1 иниц'!D220</f>
        <v>0.26300000000000001</v>
      </c>
    </row>
    <row r="72" spans="1:5" ht="21.6" customHeight="1" x14ac:dyDescent="0.25">
      <c r="A72" s="601"/>
      <c r="B72" s="600"/>
      <c r="C72" s="426" t="str">
        <f>'работа 1 иниц'!A221</f>
        <v>Ремонт акустической системы</v>
      </c>
      <c r="D72" s="150" t="s">
        <v>22</v>
      </c>
      <c r="E72" s="427">
        <f>'работа 1 иниц'!D221</f>
        <v>0.26300000000000001</v>
      </c>
    </row>
    <row r="73" spans="1:5" ht="12" customHeight="1" x14ac:dyDescent="0.25">
      <c r="A73" s="601"/>
      <c r="B73" s="600"/>
      <c r="C73" s="426" t="str">
        <f>'работа 1 иниц'!A222</f>
        <v>Ремонт микшера</v>
      </c>
      <c r="D73" s="150" t="s">
        <v>22</v>
      </c>
      <c r="E73" s="427">
        <f>'работа 1 иниц'!D222</f>
        <v>0.26300000000000001</v>
      </c>
    </row>
    <row r="74" spans="1:5" ht="24.6" customHeight="1" x14ac:dyDescent="0.25">
      <c r="A74" s="601"/>
      <c r="B74" s="600"/>
      <c r="C74" s="426" t="str">
        <f>'работа 1 иниц'!A223</f>
        <v>Ремонт комбо басовый</v>
      </c>
      <c r="D74" s="150" t="s">
        <v>22</v>
      </c>
      <c r="E74" s="427">
        <f>'работа 1 иниц'!D223</f>
        <v>0.26300000000000001</v>
      </c>
    </row>
    <row r="75" spans="1:5" ht="24.6" customHeight="1" x14ac:dyDescent="0.25">
      <c r="A75" s="601"/>
      <c r="B75" s="600"/>
      <c r="C75" s="426" t="str">
        <f>'работа 1 иниц'!A224</f>
        <v>Ремонт Гитарного комбоусителя</v>
      </c>
      <c r="D75" s="150" t="s">
        <v>22</v>
      </c>
      <c r="E75" s="427">
        <f>'работа 1 иниц'!D224</f>
        <v>0.26300000000000001</v>
      </c>
    </row>
    <row r="76" spans="1:5" ht="24.6" customHeight="1" x14ac:dyDescent="0.25">
      <c r="A76" s="601"/>
      <c r="B76" s="600"/>
      <c r="C76" s="426" t="str">
        <f>'работа 1 иниц'!A225</f>
        <v>Ремонт аккустической системы</v>
      </c>
      <c r="D76" s="150" t="s">
        <v>22</v>
      </c>
      <c r="E76" s="427">
        <f>'работа 1 иниц'!D225</f>
        <v>0.26300000000000001</v>
      </c>
    </row>
    <row r="77" spans="1:5" ht="12" customHeight="1" x14ac:dyDescent="0.25">
      <c r="A77" s="601"/>
      <c r="B77" s="600"/>
      <c r="C77" s="605" t="s">
        <v>161</v>
      </c>
      <c r="D77" s="606"/>
      <c r="E77" s="607"/>
    </row>
    <row r="78" spans="1:5" ht="14.45" customHeight="1" x14ac:dyDescent="0.25">
      <c r="A78" s="601"/>
      <c r="B78" s="600"/>
      <c r="C78" s="153" t="str">
        <f>'работа 3 добр'!A158</f>
        <v>Договор ВЗ (связь по краю)</v>
      </c>
      <c r="D78" s="111" t="s">
        <v>100</v>
      </c>
      <c r="E78" s="323">
        <f>'работа 1 иниц'!D180</f>
        <v>0.26300000000000001</v>
      </c>
    </row>
    <row r="79" spans="1:5" ht="12" customHeight="1" x14ac:dyDescent="0.25">
      <c r="A79" s="601"/>
      <c r="B79" s="600"/>
      <c r="C79" s="153" t="str">
        <f>'работа 3 добр'!A159</f>
        <v>Абоненская плата за услуги связи, номеров</v>
      </c>
      <c r="D79" s="111" t="s">
        <v>22</v>
      </c>
      <c r="E79" s="323">
        <f>'работа 1 иниц'!D181</f>
        <v>0.26300000000000001</v>
      </c>
    </row>
    <row r="80" spans="1:5" ht="12" customHeight="1" x14ac:dyDescent="0.25">
      <c r="A80" s="601"/>
      <c r="B80" s="600"/>
      <c r="C80" s="153" t="str">
        <f>'работа 3 добр'!A160</f>
        <v>Абоненская плата за услуги Интернет кайтнет</v>
      </c>
      <c r="D80" s="111" t="s">
        <v>37</v>
      </c>
      <c r="E80" s="323">
        <f>'работа 1 иниц'!D182</f>
        <v>0.26300000000000001</v>
      </c>
    </row>
    <row r="81" spans="1:5" ht="12" customHeight="1" x14ac:dyDescent="0.25">
      <c r="A81" s="601"/>
      <c r="B81" s="600"/>
      <c r="C81" s="153" t="str">
        <f>'работа 3 добр'!A161</f>
        <v>Абоненская плата за услуги Интернет ИП Крамаренко:</v>
      </c>
      <c r="D81" s="111" t="s">
        <v>37</v>
      </c>
      <c r="E81" s="323">
        <f>'работа 1 иниц'!D183</f>
        <v>0.26300000000000001</v>
      </c>
    </row>
    <row r="82" spans="1:5" ht="12" customHeight="1" x14ac:dyDescent="0.25">
      <c r="A82" s="601"/>
      <c r="B82" s="600"/>
      <c r="C82" s="153" t="str">
        <f>'работа 3 добр'!A162</f>
        <v>Тариф Бизнес начальный</v>
      </c>
      <c r="D82" s="111" t="s">
        <v>38</v>
      </c>
      <c r="E82" s="323">
        <f>'работа 1 иниц'!D184</f>
        <v>0.26300000000000001</v>
      </c>
    </row>
    <row r="83" spans="1:5" ht="12" customHeight="1" x14ac:dyDescent="0.25">
      <c r="A83" s="601"/>
      <c r="B83" s="600"/>
      <c r="C83" s="153" t="str">
        <f>'работа 3 добр'!A163</f>
        <v>Тариф Бизнес</v>
      </c>
      <c r="D83" s="111" t="s">
        <v>38</v>
      </c>
      <c r="E83" s="323">
        <f>'работа 1 иниц'!D185</f>
        <v>0.26300000000000001</v>
      </c>
    </row>
    <row r="84" spans="1:5" ht="12" customHeight="1" x14ac:dyDescent="0.25">
      <c r="A84" s="601"/>
      <c r="B84" s="600"/>
      <c r="C84" s="153" t="str">
        <f>'работа 3 добр'!A164</f>
        <v>Почтовые услуги</v>
      </c>
      <c r="D84" s="111" t="s">
        <v>22</v>
      </c>
      <c r="E84" s="323">
        <f>'работа 1 иниц'!D186</f>
        <v>0.26300000000000001</v>
      </c>
    </row>
    <row r="85" spans="1:5" ht="12" customHeight="1" x14ac:dyDescent="0.25">
      <c r="A85" s="601"/>
      <c r="B85" s="600"/>
      <c r="C85" s="608" t="s">
        <v>162</v>
      </c>
      <c r="D85" s="609"/>
      <c r="E85" s="610"/>
    </row>
    <row r="86" spans="1:5" ht="11.25" customHeight="1" x14ac:dyDescent="0.25">
      <c r="A86" s="601"/>
      <c r="B86" s="600"/>
      <c r="C86" s="120" t="s">
        <v>228</v>
      </c>
      <c r="D86" s="428" t="s">
        <v>166</v>
      </c>
      <c r="E86" s="185">
        <f>'работа 1 иниц'!E115</f>
        <v>0.26300000000000001</v>
      </c>
    </row>
    <row r="87" spans="1:5" ht="12" customHeight="1" x14ac:dyDescent="0.25">
      <c r="A87" s="601"/>
      <c r="B87" s="600"/>
      <c r="C87" s="132" t="s">
        <v>164</v>
      </c>
      <c r="D87" s="428" t="s">
        <v>157</v>
      </c>
      <c r="E87" s="185">
        <f>'работа 1 иниц'!E116</f>
        <v>0.26300000000000001</v>
      </c>
    </row>
    <row r="88" spans="1:5" ht="12" customHeight="1" x14ac:dyDescent="0.25">
      <c r="A88" s="601"/>
      <c r="B88" s="600"/>
      <c r="C88" s="132" t="s">
        <v>101</v>
      </c>
      <c r="D88" s="428" t="s">
        <v>157</v>
      </c>
      <c r="E88" s="185">
        <f>'работа 1 иниц'!E117</f>
        <v>0.13150000000000001</v>
      </c>
    </row>
    <row r="89" spans="1:5" ht="12" customHeight="1" x14ac:dyDescent="0.25">
      <c r="A89" s="601"/>
      <c r="B89" s="600"/>
      <c r="C89" s="132" t="s">
        <v>165</v>
      </c>
      <c r="D89" s="428" t="s">
        <v>157</v>
      </c>
      <c r="E89" s="185">
        <f>'работа 1 иниц'!E118</f>
        <v>0.26300000000000001</v>
      </c>
    </row>
    <row r="90" spans="1:5" ht="12" customHeight="1" x14ac:dyDescent="0.25">
      <c r="A90" s="601"/>
      <c r="B90" s="600"/>
      <c r="C90" s="461" t="s">
        <v>169</v>
      </c>
      <c r="D90" s="462"/>
      <c r="E90" s="463"/>
    </row>
    <row r="91" spans="1:5" ht="28.15" customHeight="1" x14ac:dyDescent="0.25">
      <c r="A91" s="601"/>
      <c r="B91" s="600"/>
      <c r="C91" s="134" t="str">
        <f>'работа 3 добр'!A124</f>
        <v>Пособие по уходу за ребенком до 3-х лет</v>
      </c>
      <c r="D91" s="135" t="s">
        <v>141</v>
      </c>
      <c r="E91" s="144">
        <f>E86</f>
        <v>0.26300000000000001</v>
      </c>
    </row>
    <row r="92" spans="1:5" ht="28.15" customHeight="1" x14ac:dyDescent="0.25">
      <c r="A92" s="601"/>
      <c r="B92" s="600"/>
      <c r="C92" s="134" t="str">
        <f>'работа 3 добр'!A125</f>
        <v>выплата пособия на период трудоустройства (Остропицкая)</v>
      </c>
      <c r="D92" s="135" t="s">
        <v>141</v>
      </c>
      <c r="E92" s="144">
        <f t="shared" ref="E92:E94" si="0">E87</f>
        <v>0.26300000000000001</v>
      </c>
    </row>
    <row r="93" spans="1:5" ht="28.15" customHeight="1" x14ac:dyDescent="0.25">
      <c r="A93" s="601"/>
      <c r="B93" s="600"/>
      <c r="C93" s="134" t="str">
        <f>'работа 3 добр'!A126</f>
        <v>выплата пособия на период трудоустройства (Королёва)</v>
      </c>
      <c r="D93" s="135" t="s">
        <v>141</v>
      </c>
      <c r="E93" s="144">
        <v>0.26300000000000001</v>
      </c>
    </row>
    <row r="94" spans="1:5" ht="28.15" customHeight="1" x14ac:dyDescent="0.25">
      <c r="A94" s="601"/>
      <c r="B94" s="600"/>
      <c r="C94" s="134" t="str">
        <f>'работа 3 добр'!A127</f>
        <v>выплата пособия на период трудоустройства (Ахмерова)</v>
      </c>
      <c r="D94" s="135" t="s">
        <v>141</v>
      </c>
      <c r="E94" s="144">
        <f t="shared" si="0"/>
        <v>0.26300000000000001</v>
      </c>
    </row>
    <row r="95" spans="1:5" ht="25.15" customHeight="1" x14ac:dyDescent="0.25">
      <c r="A95" s="601"/>
      <c r="B95" s="600"/>
      <c r="C95" s="608" t="s">
        <v>170</v>
      </c>
      <c r="D95" s="609"/>
      <c r="E95" s="610"/>
    </row>
    <row r="96" spans="1:5" ht="40.15" customHeight="1" x14ac:dyDescent="0.25">
      <c r="A96" s="601"/>
      <c r="B96" s="600"/>
      <c r="C96" s="133" t="s">
        <v>304</v>
      </c>
      <c r="D96" s="111" t="s">
        <v>39</v>
      </c>
      <c r="E96" s="321">
        <f>'работа 1 иниц'!E170</f>
        <v>0.26300000000000001</v>
      </c>
    </row>
    <row r="97" spans="1:5" ht="22.9" customHeight="1" x14ac:dyDescent="0.25">
      <c r="A97" s="601"/>
      <c r="B97" s="600"/>
      <c r="C97" s="133" t="s">
        <v>305</v>
      </c>
      <c r="D97" s="111" t="s">
        <v>39</v>
      </c>
      <c r="E97" s="321">
        <f>'работа 1 иниц'!E171</f>
        <v>0.26300000000000001</v>
      </c>
    </row>
    <row r="98" spans="1:5" ht="23.45" customHeight="1" x14ac:dyDescent="0.25">
      <c r="A98" s="601"/>
      <c r="B98" s="600"/>
      <c r="C98" s="133" t="s">
        <v>306</v>
      </c>
      <c r="D98" s="111" t="s">
        <v>39</v>
      </c>
      <c r="E98" s="321">
        <f>'работа 1 иниц'!E172</f>
        <v>0.26300000000000001</v>
      </c>
    </row>
    <row r="99" spans="1:5" ht="22.15" customHeight="1" x14ac:dyDescent="0.25">
      <c r="A99" s="601"/>
      <c r="B99" s="600"/>
      <c r="C99" s="464" t="s">
        <v>171</v>
      </c>
      <c r="D99" s="465"/>
      <c r="E99" s="466"/>
    </row>
    <row r="100" spans="1:5" ht="18.600000000000001" customHeight="1" x14ac:dyDescent="0.25">
      <c r="A100" s="601"/>
      <c r="B100" s="600"/>
      <c r="C100" s="136" t="str">
        <f>'работа 3 добр'!A172</f>
        <v>Провоз груза 2000 кг (1 кг=9,50 руб)</v>
      </c>
      <c r="D100" s="137" t="s">
        <v>22</v>
      </c>
      <c r="E100" s="329">
        <f>E96</f>
        <v>0.26300000000000001</v>
      </c>
    </row>
    <row r="101" spans="1:5" ht="12" customHeight="1" x14ac:dyDescent="0.25">
      <c r="A101" s="601"/>
      <c r="B101" s="600"/>
      <c r="C101" s="605" t="s">
        <v>172</v>
      </c>
      <c r="D101" s="606"/>
      <c r="E101" s="607"/>
    </row>
    <row r="102" spans="1:5" ht="14.45" customHeight="1" x14ac:dyDescent="0.25">
      <c r="A102" s="601"/>
      <c r="B102" s="600"/>
      <c r="C102" s="123" t="str">
        <f>'натур показатели 2 работа'!C109</f>
        <v>Обучение персонала</v>
      </c>
      <c r="D102" s="69" t="str">
        <f>'натур показатели 2 работа'!D109</f>
        <v>договор</v>
      </c>
      <c r="E102" s="185">
        <f>'работа 1 иниц'!D232</f>
        <v>1.3149999999999999</v>
      </c>
    </row>
    <row r="103" spans="1:5" ht="24.6" customHeight="1" x14ac:dyDescent="0.25">
      <c r="A103" s="601"/>
      <c r="B103" s="600"/>
      <c r="C103" s="123" t="str">
        <f>'натур показатели 2 работа'!C110</f>
        <v>Услуги СЕМИС подписка</v>
      </c>
      <c r="D103" s="69" t="str">
        <f>'натур показатели 2 работа'!D110</f>
        <v>договор</v>
      </c>
      <c r="E103" s="185">
        <f>'работа 1 иниц'!D233</f>
        <v>0.26300000000000001</v>
      </c>
    </row>
    <row r="104" spans="1:5" ht="12" customHeight="1" x14ac:dyDescent="0.25">
      <c r="A104" s="601"/>
      <c r="B104" s="600"/>
      <c r="C104" s="123" t="str">
        <f>'натур показатели 2 работа'!C111</f>
        <v xml:space="preserve">Обслуживание систем пожарной сигнализации  </v>
      </c>
      <c r="D104" s="69" t="str">
        <f>'натур показатели 2 работа'!D111</f>
        <v>договор</v>
      </c>
      <c r="E104" s="185">
        <f>'работа 1 иниц'!D234</f>
        <v>3.1560000000000001</v>
      </c>
    </row>
    <row r="105" spans="1:5" ht="12" customHeight="1" x14ac:dyDescent="0.25">
      <c r="A105" s="601"/>
      <c r="B105" s="600"/>
      <c r="C105" s="123" t="str">
        <f>'натур показатели 2 работа'!C112</f>
        <v xml:space="preserve">Обслуживание систем видеонаблюдения </v>
      </c>
      <c r="D105" s="69" t="str">
        <f>'натур показатели 2 работа'!D112</f>
        <v>договор</v>
      </c>
      <c r="E105" s="185">
        <f>'работа 1 иниц'!D235</f>
        <v>3.1560000000000001</v>
      </c>
    </row>
    <row r="106" spans="1:5" ht="12" customHeight="1" x14ac:dyDescent="0.25">
      <c r="A106" s="601"/>
      <c r="B106" s="600"/>
      <c r="C106" s="123" t="str">
        <f>'натур показатели 2 работа'!C113</f>
        <v>Предрейсовое медицинское обследование 247дней*90руб</v>
      </c>
      <c r="D106" s="69" t="str">
        <f>'натур показатели 2 работа'!D113</f>
        <v>договор</v>
      </c>
      <c r="E106" s="185">
        <f>'работа 1 иниц'!D236</f>
        <v>0.26300000000000001</v>
      </c>
    </row>
    <row r="107" spans="1:5" ht="12" customHeight="1" x14ac:dyDescent="0.25">
      <c r="A107" s="601"/>
      <c r="B107" s="600"/>
      <c r="C107" s="123" t="str">
        <f>'натур показатели 2 работа'!C114</f>
        <v xml:space="preserve">Услуги охраны  </v>
      </c>
      <c r="D107" s="69" t="str">
        <f>'натур показатели 2 работа'!D114</f>
        <v>договор</v>
      </c>
      <c r="E107" s="185">
        <f>'работа 1 иниц'!D237</f>
        <v>3.1560000000000001</v>
      </c>
    </row>
    <row r="108" spans="1:5" ht="12" customHeight="1" x14ac:dyDescent="0.25">
      <c r="A108" s="601"/>
      <c r="B108" s="600"/>
      <c r="C108" s="123" t="str">
        <f>'натур показатели 2 работа'!C115</f>
        <v>Обслуживание систем охранных средств сигнализации (тревожная кнопка)</v>
      </c>
      <c r="D108" s="69" t="str">
        <f>'натур показатели 2 работа'!D115</f>
        <v>договор</v>
      </c>
      <c r="E108" s="185">
        <f>'работа 1 иниц'!D238</f>
        <v>3.1560000000000001</v>
      </c>
    </row>
    <row r="109" spans="1:5" ht="27" customHeight="1" x14ac:dyDescent="0.25">
      <c r="A109" s="601"/>
      <c r="B109" s="600"/>
      <c r="C109" s="123" t="str">
        <f>'натур показатели 2 работа'!C116</f>
        <v>Организация светового сопровождения мероприятия</v>
      </c>
      <c r="D109" s="69" t="str">
        <f>'натур показатели 2 работа'!D116</f>
        <v>договор</v>
      </c>
      <c r="E109" s="185">
        <f>'работа 1 иниц'!D239</f>
        <v>0.26300000000000001</v>
      </c>
    </row>
    <row r="110" spans="1:5" ht="15" customHeight="1" x14ac:dyDescent="0.25">
      <c r="A110" s="601"/>
      <c r="B110" s="600"/>
      <c r="C110" s="123" t="str">
        <f>'натур показатели 2 работа'!C117</f>
        <v xml:space="preserve">Заключение договора на прохождение предварительного мед осмотра сотрудниками </v>
      </c>
      <c r="D110" s="69" t="str">
        <f>'натур показатели 2 работа'!D117</f>
        <v>договор</v>
      </c>
      <c r="E110" s="185">
        <f>'работа 1 иниц'!D240</f>
        <v>1.5780000000000001</v>
      </c>
    </row>
    <row r="111" spans="1:5" ht="23.45" customHeight="1" x14ac:dyDescent="0.25">
      <c r="A111" s="601"/>
      <c r="B111" s="600"/>
      <c r="C111" s="123" t="str">
        <f>'натур показатели 2 работа'!C118</f>
        <v>Прохождение периодического мед осмотра водителем</v>
      </c>
      <c r="D111" s="69" t="str">
        <f>'натур показатели 2 работа'!D118</f>
        <v>договор</v>
      </c>
      <c r="E111" s="185">
        <f>'работа 1 иниц'!D241</f>
        <v>0.26300000000000001</v>
      </c>
    </row>
    <row r="112" spans="1:5" ht="12" customHeight="1" x14ac:dyDescent="0.25">
      <c r="A112" s="601"/>
      <c r="B112" s="600"/>
      <c r="C112" s="123" t="str">
        <f>'натур показатели 2 работа'!C119</f>
        <v>Страховая премия по полису ОСАГО за УАЗ</v>
      </c>
      <c r="D112" s="69" t="str">
        <f>'натур показатели 2 работа'!D119</f>
        <v>договор</v>
      </c>
      <c r="E112" s="185">
        <f>'работа 1 иниц'!D242</f>
        <v>0.26300000000000001</v>
      </c>
    </row>
    <row r="113" spans="1:5" ht="12" customHeight="1" x14ac:dyDescent="0.25">
      <c r="A113" s="601"/>
      <c r="B113" s="600"/>
      <c r="C113" s="123" t="str">
        <f>'натур показатели 2 работа'!C120</f>
        <v>Microsoft Windows</v>
      </c>
      <c r="D113" s="69" t="str">
        <f>'натур показатели 2 работа'!D120</f>
        <v>договор</v>
      </c>
      <c r="E113" s="185">
        <f>'работа 1 иниц'!D243</f>
        <v>1.8410000000000002</v>
      </c>
    </row>
    <row r="114" spans="1:5" ht="12" customHeight="1" x14ac:dyDescent="0.25">
      <c r="A114" s="601"/>
      <c r="B114" s="600"/>
      <c r="C114" s="123" t="str">
        <f>'натур показатели 2 работа'!C121</f>
        <v>Microsoft Offise</v>
      </c>
      <c r="D114" s="69" t="str">
        <f>'натур показатели 2 работа'!D121</f>
        <v>договор</v>
      </c>
      <c r="E114" s="185">
        <f>'работа 1 иниц'!D244</f>
        <v>0.52600000000000002</v>
      </c>
    </row>
    <row r="115" spans="1:5" ht="12" customHeight="1" x14ac:dyDescent="0.25">
      <c r="A115" s="601"/>
      <c r="B115" s="600"/>
      <c r="C115" s="123" t="str">
        <f>'натур показатели 2 работа'!C122</f>
        <v>Dr Web Security</v>
      </c>
      <c r="D115" s="69" t="str">
        <f>'натур показатели 2 работа'!D122</f>
        <v>договор</v>
      </c>
      <c r="E115" s="185">
        <f>'работа 1 иниц'!D245</f>
        <v>0.26300000000000001</v>
      </c>
    </row>
    <row r="116" spans="1:5" ht="12" customHeight="1" x14ac:dyDescent="0.25">
      <c r="A116" s="601"/>
      <c r="B116" s="600"/>
      <c r="C116" s="123" t="str">
        <f>'натур показатели 2 работа'!C123</f>
        <v>Dr Web Security Spase</v>
      </c>
      <c r="D116" s="69" t="str">
        <f>'натур показатели 2 работа'!D123</f>
        <v>договор</v>
      </c>
      <c r="E116" s="185">
        <f>'работа 1 иниц'!D246</f>
        <v>0.26300000000000001</v>
      </c>
    </row>
    <row r="117" spans="1:5" ht="12" customHeight="1" x14ac:dyDescent="0.25">
      <c r="A117" s="601"/>
      <c r="B117" s="600"/>
      <c r="C117" s="123" t="str">
        <f>'натур показатели 2 работа'!C124</f>
        <v>Оплата гос пошлины</v>
      </c>
      <c r="D117" s="69" t="str">
        <f>'натур показатели 2 работа'!D124</f>
        <v>ед</v>
      </c>
      <c r="E117" s="185">
        <f>'работа 1 иниц'!D247</f>
        <v>0.26300000000000001</v>
      </c>
    </row>
    <row r="118" spans="1:5" ht="12" customHeight="1" x14ac:dyDescent="0.25">
      <c r="A118" s="601"/>
      <c r="B118" s="600"/>
      <c r="C118" s="123" t="str">
        <f>'натур показатели 2 работа'!C125</f>
        <v xml:space="preserve">Оплата за негативное воздействие </v>
      </c>
      <c r="D118" s="69" t="str">
        <f>'натур показатели 2 работа'!D125</f>
        <v>ед</v>
      </c>
      <c r="E118" s="185">
        <f>'работа 1 иниц'!D248</f>
        <v>0.26300000000000001</v>
      </c>
    </row>
    <row r="119" spans="1:5" ht="12" customHeight="1" x14ac:dyDescent="0.25">
      <c r="A119" s="601"/>
      <c r="B119" s="600"/>
      <c r="C119" s="123" t="str">
        <f>'натур показатели 2 работа'!C126</f>
        <v>ПУГНП</v>
      </c>
      <c r="D119" s="69" t="str">
        <f>'натур показатели 2 работа'!D126</f>
        <v>шт</v>
      </c>
      <c r="E119" s="185">
        <f>'работа 1 иниц'!D249</f>
        <v>13.15</v>
      </c>
    </row>
    <row r="120" spans="1:5" ht="12" customHeight="1" x14ac:dyDescent="0.25">
      <c r="A120" s="601"/>
      <c r="B120" s="600"/>
      <c r="C120" s="123" t="str">
        <f>'натур показатели 2 работа'!C127</f>
        <v>пакет майка</v>
      </c>
      <c r="D120" s="69" t="str">
        <f>'натур показатели 2 работа'!D127</f>
        <v>шт</v>
      </c>
      <c r="E120" s="185">
        <f>'работа 1 иниц'!D250</f>
        <v>0.26300000000000001</v>
      </c>
    </row>
    <row r="121" spans="1:5" ht="12" customHeight="1" x14ac:dyDescent="0.25">
      <c r="A121" s="601"/>
      <c r="B121" s="600"/>
      <c r="C121" s="123" t="str">
        <f>'натур показатели 2 работа'!C128</f>
        <v>розетка</v>
      </c>
      <c r="D121" s="69" t="str">
        <f>'натур показатели 2 работа'!D128</f>
        <v>шт</v>
      </c>
      <c r="E121" s="185">
        <f>'работа 1 иниц'!D251</f>
        <v>1.3149999999999999</v>
      </c>
    </row>
    <row r="122" spans="1:5" ht="12" customHeight="1" x14ac:dyDescent="0.25">
      <c r="A122" s="601"/>
      <c r="B122" s="600"/>
      <c r="C122" s="123" t="str">
        <f>'натур показатели 2 работа'!C129</f>
        <v>Вилка евро</v>
      </c>
      <c r="D122" s="69" t="str">
        <f>'натур показатели 2 работа'!D129</f>
        <v>шт</v>
      </c>
      <c r="E122" s="185">
        <f>'работа 1 иниц'!D252</f>
        <v>1.3149999999999999</v>
      </c>
    </row>
    <row r="123" spans="1:5" ht="12" customHeight="1" x14ac:dyDescent="0.25">
      <c r="A123" s="601"/>
      <c r="B123" s="600"/>
      <c r="C123" s="123" t="str">
        <f>'натур показатели 2 работа'!C130</f>
        <v>розетка "Пралеска"</v>
      </c>
      <c r="D123" s="69" t="str">
        <f>'натур показатели 2 работа'!D130</f>
        <v>шт</v>
      </c>
      <c r="E123" s="185">
        <f>'работа 1 иниц'!D253</f>
        <v>0.78900000000000003</v>
      </c>
    </row>
    <row r="124" spans="1:5" ht="12" customHeight="1" x14ac:dyDescent="0.25">
      <c r="A124" s="601"/>
      <c r="B124" s="600"/>
      <c r="C124" s="123" t="str">
        <f>'натур показатели 2 работа'!C131</f>
        <v>лампа "Онлайт"</v>
      </c>
      <c r="D124" s="69" t="str">
        <f>'натур показатели 2 работа'!D131</f>
        <v>шт</v>
      </c>
      <c r="E124" s="185">
        <f>'работа 1 иниц'!D254</f>
        <v>6.8380000000000001</v>
      </c>
    </row>
    <row r="125" spans="1:5" ht="12" customHeight="1" x14ac:dyDescent="0.25">
      <c r="A125" s="601"/>
      <c r="B125" s="600"/>
      <c r="C125" s="123" t="str">
        <f>'натур показатели 2 работа'!C132</f>
        <v>пугнп</v>
      </c>
      <c r="D125" s="69" t="str">
        <f>'натур показатели 2 работа'!D132</f>
        <v>шт</v>
      </c>
      <c r="E125" s="185">
        <f>'работа 1 иниц'!D255</f>
        <v>1.8410000000000002</v>
      </c>
    </row>
    <row r="126" spans="1:5" ht="12" customHeight="1" x14ac:dyDescent="0.25">
      <c r="A126" s="601"/>
      <c r="B126" s="600"/>
      <c r="C126" s="123" t="str">
        <f>'натур показатели 2 работа'!C133</f>
        <v>светильник точечный</v>
      </c>
      <c r="D126" s="69" t="str">
        <f>'натур показатели 2 работа'!D133</f>
        <v>шт</v>
      </c>
      <c r="E126" s="185">
        <f>'работа 1 иниц'!D256</f>
        <v>2.63</v>
      </c>
    </row>
    <row r="127" spans="1:5" ht="12" customHeight="1" x14ac:dyDescent="0.25">
      <c r="A127" s="601"/>
      <c r="B127" s="600"/>
      <c r="C127" s="123" t="str">
        <f>'натур показатели 2 работа'!C134</f>
        <v>светильник точечный</v>
      </c>
      <c r="D127" s="69" t="str">
        <f>'натур показатели 2 работа'!D134</f>
        <v>шт</v>
      </c>
      <c r="E127" s="185">
        <f>'работа 1 иниц'!D257</f>
        <v>2.63</v>
      </c>
    </row>
    <row r="128" spans="1:5" ht="12" customHeight="1" x14ac:dyDescent="0.25">
      <c r="A128" s="601"/>
      <c r="B128" s="600"/>
      <c r="C128" s="123" t="str">
        <f>'натур показатели 2 работа'!C135</f>
        <v>светильник точечный</v>
      </c>
      <c r="D128" s="69" t="str">
        <f>'натур показатели 2 работа'!D135</f>
        <v>шт</v>
      </c>
      <c r="E128" s="185">
        <f>'работа 1 иниц'!D258</f>
        <v>1.5780000000000001</v>
      </c>
    </row>
    <row r="129" spans="1:5" ht="12" customHeight="1" x14ac:dyDescent="0.25">
      <c r="A129" s="601"/>
      <c r="B129" s="600"/>
      <c r="C129" s="123" t="str">
        <f>'натур показатели 2 работа'!C136</f>
        <v>эмаль аэрозоль</v>
      </c>
      <c r="D129" s="69" t="str">
        <f>'натур показатели 2 работа'!D136</f>
        <v>шт</v>
      </c>
      <c r="E129" s="185">
        <f>'работа 1 иниц'!D259</f>
        <v>0.52600000000000002</v>
      </c>
    </row>
    <row r="130" spans="1:5" ht="12" customHeight="1" x14ac:dyDescent="0.25">
      <c r="A130" s="601"/>
      <c r="B130" s="600"/>
      <c r="C130" s="123" t="str">
        <f>'натур показатели 2 работа'!C137</f>
        <v>пила сегментная</v>
      </c>
      <c r="D130" s="69" t="str">
        <f>'натур показатели 2 работа'!D137</f>
        <v>шт</v>
      </c>
      <c r="E130" s="185">
        <f>'работа 1 иниц'!D260</f>
        <v>0.26300000000000001</v>
      </c>
    </row>
    <row r="131" spans="1:5" ht="12" customHeight="1" x14ac:dyDescent="0.25">
      <c r="A131" s="601"/>
      <c r="B131" s="600"/>
      <c r="C131" s="123" t="str">
        <f>'натур показатели 2 работа'!C138</f>
        <v>комплект крепежей для батареи</v>
      </c>
      <c r="D131" s="69" t="str">
        <f>'натур показатели 2 работа'!D138</f>
        <v>шт</v>
      </c>
      <c r="E131" s="185">
        <f>'работа 1 иниц'!D261</f>
        <v>0.78900000000000003</v>
      </c>
    </row>
    <row r="132" spans="1:5" ht="12" customHeight="1" x14ac:dyDescent="0.25">
      <c r="A132" s="601"/>
      <c r="B132" s="600"/>
      <c r="C132" s="123" t="str">
        <f>'натур показатели 2 работа'!C139</f>
        <v>набор для радиатора</v>
      </c>
      <c r="D132" s="69" t="str">
        <f>'натур показатели 2 работа'!D139</f>
        <v>шт</v>
      </c>
      <c r="E132" s="185">
        <f>'работа 1 иниц'!D262</f>
        <v>0.78900000000000003</v>
      </c>
    </row>
    <row r="133" spans="1:5" ht="12" customHeight="1" x14ac:dyDescent="0.25">
      <c r="A133" s="601"/>
      <c r="B133" s="600"/>
      <c r="C133" s="123" t="str">
        <f>'натур показатели 2 работа'!C140</f>
        <v>лампа "Онлайт"</v>
      </c>
      <c r="D133" s="69" t="str">
        <f>'натур показатели 2 работа'!D140</f>
        <v>шт</v>
      </c>
      <c r="E133" s="185">
        <f>'работа 1 иниц'!D263</f>
        <v>1.3149999999999999</v>
      </c>
    </row>
    <row r="134" spans="1:5" ht="12" customHeight="1" x14ac:dyDescent="0.25">
      <c r="A134" s="601"/>
      <c r="B134" s="600"/>
      <c r="C134" s="123" t="str">
        <f>'натур показатели 2 работа'!C141</f>
        <v>Прожектор светодиодный</v>
      </c>
      <c r="D134" s="69" t="str">
        <f>'натур показатели 2 работа'!D141</f>
        <v>шт</v>
      </c>
      <c r="E134" s="185">
        <f>'работа 1 иниц'!D264</f>
        <v>0.52600000000000002</v>
      </c>
    </row>
    <row r="135" spans="1:5" ht="12" customHeight="1" x14ac:dyDescent="0.25">
      <c r="A135" s="601"/>
      <c r="B135" s="600"/>
      <c r="C135" s="123" t="str">
        <f>'натур показатели 2 работа'!C142</f>
        <v>скотч 48 мм</v>
      </c>
      <c r="D135" s="69" t="str">
        <f>'натур показатели 2 работа'!D142</f>
        <v>шт</v>
      </c>
      <c r="E135" s="185">
        <f>'работа 1 иниц'!D265</f>
        <v>3.1560000000000001</v>
      </c>
    </row>
    <row r="136" spans="1:5" ht="12" customHeight="1" x14ac:dyDescent="0.25">
      <c r="A136" s="601"/>
      <c r="B136" s="600"/>
      <c r="C136" s="123" t="str">
        <f>'натур показатели 2 работа'!C143</f>
        <v>скотч армированный</v>
      </c>
      <c r="D136" s="69" t="str">
        <f>'натур показатели 2 работа'!D143</f>
        <v>шт</v>
      </c>
      <c r="E136" s="185">
        <f>'работа 1 иниц'!D266</f>
        <v>0.52600000000000002</v>
      </c>
    </row>
    <row r="137" spans="1:5" ht="12" customHeight="1" x14ac:dyDescent="0.25">
      <c r="A137" s="601"/>
      <c r="B137" s="600"/>
      <c r="C137" s="123" t="str">
        <f>'натур показатели 2 работа'!C144</f>
        <v>эмаль аэрозоль металлик</v>
      </c>
      <c r="D137" s="69" t="str">
        <f>'натур показатели 2 работа'!D144</f>
        <v>шт</v>
      </c>
      <c r="E137" s="185">
        <f>'работа 1 иниц'!D267</f>
        <v>0.26300000000000001</v>
      </c>
    </row>
    <row r="138" spans="1:5" ht="12" customHeight="1" x14ac:dyDescent="0.25">
      <c r="A138" s="601"/>
      <c r="B138" s="600"/>
      <c r="C138" s="123" t="str">
        <f>'натур показатели 2 работа'!C145</f>
        <v>эмаль аэрозоль коричн</v>
      </c>
      <c r="D138" s="69" t="str">
        <f>'натур показатели 2 работа'!D145</f>
        <v>шт</v>
      </c>
      <c r="E138" s="185">
        <f>'работа 1 иниц'!D268</f>
        <v>0.26300000000000001</v>
      </c>
    </row>
    <row r="139" spans="1:5" ht="12" customHeight="1" x14ac:dyDescent="0.25">
      <c r="A139" s="601"/>
      <c r="B139" s="600"/>
      <c r="C139" s="123" t="str">
        <f>'натур показатели 2 работа'!C146</f>
        <v>эмаль разн цвет</v>
      </c>
      <c r="D139" s="69" t="str">
        <f>'натур показатели 2 работа'!D146</f>
        <v>шт</v>
      </c>
      <c r="E139" s="185">
        <f>'работа 1 иниц'!D269</f>
        <v>1.052</v>
      </c>
    </row>
    <row r="140" spans="1:5" ht="12" customHeight="1" x14ac:dyDescent="0.25">
      <c r="A140" s="601"/>
      <c r="B140" s="600"/>
      <c r="C140" s="123" t="str">
        <f>'натур показатели 2 работа'!C147</f>
        <v>скоба</v>
      </c>
      <c r="D140" s="69" t="str">
        <f>'натур показатели 2 работа'!D147</f>
        <v>шт</v>
      </c>
      <c r="E140" s="185">
        <f>'работа 1 иниц'!D270</f>
        <v>1.3149999999999999</v>
      </c>
    </row>
    <row r="141" spans="1:5" ht="12" customHeight="1" x14ac:dyDescent="0.25">
      <c r="A141" s="601"/>
      <c r="B141" s="600"/>
      <c r="C141" s="123" t="str">
        <f>'натур показатели 2 работа'!C148</f>
        <v>стяжка для провода</v>
      </c>
      <c r="D141" s="69" t="str">
        <f>'натур показатели 2 работа'!D148</f>
        <v>шт</v>
      </c>
      <c r="E141" s="185">
        <f>'работа 1 иниц'!D271</f>
        <v>0.52600000000000002</v>
      </c>
    </row>
    <row r="142" spans="1:5" ht="12" customHeight="1" x14ac:dyDescent="0.25">
      <c r="A142" s="601"/>
      <c r="B142" s="600"/>
      <c r="C142" s="123" t="str">
        <f>'натур показатели 2 работа'!C149</f>
        <v>стяжка для провода</v>
      </c>
      <c r="D142" s="69" t="str">
        <f>'натур показатели 2 работа'!D149</f>
        <v>шт</v>
      </c>
      <c r="E142" s="185">
        <f>'работа 1 иниц'!D272</f>
        <v>0.52600000000000002</v>
      </c>
    </row>
    <row r="143" spans="1:5" ht="12" customHeight="1" x14ac:dyDescent="0.25">
      <c r="A143" s="601"/>
      <c r="B143" s="600"/>
      <c r="C143" s="123" t="str">
        <f>'натур показатели 2 работа'!C150</f>
        <v>дюбель</v>
      </c>
      <c r="D143" s="69" t="str">
        <f>'натур показатели 2 работа'!D150</f>
        <v>шт</v>
      </c>
      <c r="E143" s="185">
        <f>'работа 1 иниц'!D273</f>
        <v>52.337000000000003</v>
      </c>
    </row>
    <row r="144" spans="1:5" ht="12" customHeight="1" x14ac:dyDescent="0.25">
      <c r="A144" s="601"/>
      <c r="B144" s="600"/>
      <c r="C144" s="123" t="str">
        <f>'натур показатели 2 работа'!C151</f>
        <v>бокорезы</v>
      </c>
      <c r="D144" s="69" t="str">
        <f>'натур показатели 2 работа'!D151</f>
        <v>шт</v>
      </c>
      <c r="E144" s="185">
        <f>'работа 1 иниц'!D274</f>
        <v>0.26300000000000001</v>
      </c>
    </row>
    <row r="145" spans="1:5" ht="12" customHeight="1" x14ac:dyDescent="0.25">
      <c r="A145" s="601"/>
      <c r="B145" s="600"/>
      <c r="C145" s="123" t="str">
        <f>'натур показатели 2 работа'!C152</f>
        <v>плоскогубцы</v>
      </c>
      <c r="D145" s="69" t="str">
        <f>'натур показатели 2 работа'!D152</f>
        <v>шт</v>
      </c>
      <c r="E145" s="185">
        <f>'работа 1 иниц'!D275</f>
        <v>0.26300000000000001</v>
      </c>
    </row>
    <row r="146" spans="1:5" ht="12" customHeight="1" x14ac:dyDescent="0.25">
      <c r="A146" s="601"/>
      <c r="B146" s="600"/>
      <c r="C146" s="123" t="str">
        <f>'натур показатели 2 работа'!C153</f>
        <v>бита</v>
      </c>
      <c r="D146" s="69" t="str">
        <f>'натур показатели 2 работа'!D153</f>
        <v>шт</v>
      </c>
      <c r="E146" s="185">
        <f>'работа 1 иниц'!D276</f>
        <v>0.26300000000000001</v>
      </c>
    </row>
    <row r="147" spans="1:5" ht="12" customHeight="1" x14ac:dyDescent="0.25">
      <c r="A147" s="601"/>
      <c r="B147" s="600"/>
      <c r="C147" s="123" t="str">
        <f>'натур показатели 2 работа'!C154</f>
        <v>бита</v>
      </c>
      <c r="D147" s="69" t="str">
        <f>'натур показатели 2 работа'!D154</f>
        <v>шт</v>
      </c>
      <c r="E147" s="185">
        <f>'работа 1 иниц'!D277</f>
        <v>0.26300000000000001</v>
      </c>
    </row>
    <row r="148" spans="1:5" ht="12" customHeight="1" x14ac:dyDescent="0.25">
      <c r="A148" s="601"/>
      <c r="B148" s="600"/>
      <c r="C148" s="123" t="str">
        <f>'натур показатели 2 работа'!C155</f>
        <v>угольник</v>
      </c>
      <c r="D148" s="69" t="str">
        <f>'натур показатели 2 работа'!D155</f>
        <v>шт</v>
      </c>
      <c r="E148" s="185">
        <f>'работа 1 иниц'!D278</f>
        <v>0.26300000000000001</v>
      </c>
    </row>
    <row r="149" spans="1:5" ht="12" customHeight="1" x14ac:dyDescent="0.25">
      <c r="A149" s="601"/>
      <c r="B149" s="600"/>
      <c r="C149" s="123" t="str">
        <f>'натур показатели 2 работа'!C156</f>
        <v>угольник</v>
      </c>
      <c r="D149" s="69" t="str">
        <f>'натур показатели 2 работа'!D156</f>
        <v>шт</v>
      </c>
      <c r="E149" s="185">
        <f>'работа 1 иниц'!D279</f>
        <v>0.26300000000000001</v>
      </c>
    </row>
    <row r="150" spans="1:5" ht="12" customHeight="1" x14ac:dyDescent="0.25">
      <c r="A150" s="601"/>
      <c r="B150" s="600"/>
      <c r="C150" s="123" t="str">
        <f>'натур показатели 2 работа'!C157</f>
        <v>штангенциркуль</v>
      </c>
      <c r="D150" s="69" t="str">
        <f>'натур показатели 2 работа'!D157</f>
        <v>шт</v>
      </c>
      <c r="E150" s="185">
        <f>'работа 1 иниц'!D280</f>
        <v>0.26300000000000001</v>
      </c>
    </row>
    <row r="151" spans="1:5" ht="12" customHeight="1" x14ac:dyDescent="0.25">
      <c r="A151" s="601"/>
      <c r="B151" s="600"/>
      <c r="C151" s="123" t="str">
        <f>'натур показатели 2 работа'!C158</f>
        <v>пугнп 2*1,5</v>
      </c>
      <c r="D151" s="69" t="str">
        <f>'натур показатели 2 работа'!D158</f>
        <v>шт</v>
      </c>
      <c r="E151" s="185">
        <f>'работа 1 иниц'!D281</f>
        <v>52.6</v>
      </c>
    </row>
    <row r="152" spans="1:5" ht="12" customHeight="1" x14ac:dyDescent="0.25">
      <c r="A152" s="601"/>
      <c r="B152" s="600"/>
      <c r="C152" s="123" t="str">
        <f>'натур показатели 2 работа'!C159</f>
        <v>пугнп 2*2,5</v>
      </c>
      <c r="D152" s="69" t="str">
        <f>'натур показатели 2 работа'!D159</f>
        <v>шт</v>
      </c>
      <c r="E152" s="185">
        <f>'работа 1 иниц'!D282</f>
        <v>52.6</v>
      </c>
    </row>
    <row r="153" spans="1:5" ht="12" customHeight="1" x14ac:dyDescent="0.25">
      <c r="A153" s="601"/>
      <c r="B153" s="600"/>
      <c r="C153" s="123" t="str">
        <f>'натур показатели 2 работа'!C160</f>
        <v>зажимы</v>
      </c>
      <c r="D153" s="69" t="str">
        <f>'натур показатели 2 работа'!D160</f>
        <v>шт</v>
      </c>
      <c r="E153" s="185">
        <f>'работа 1 иниц'!D283</f>
        <v>1.3149999999999999</v>
      </c>
    </row>
    <row r="154" spans="1:5" ht="12" customHeight="1" x14ac:dyDescent="0.25">
      <c r="A154" s="601"/>
      <c r="B154" s="600"/>
      <c r="C154" s="123" t="str">
        <f>'натур показатели 2 работа'!C161</f>
        <v>коробка установочная</v>
      </c>
      <c r="D154" s="69" t="str">
        <f>'натур показатели 2 работа'!D161</f>
        <v>шт</v>
      </c>
      <c r="E154" s="185">
        <f>'работа 1 иниц'!D284</f>
        <v>2.63</v>
      </c>
    </row>
    <row r="155" spans="1:5" ht="12" customHeight="1" x14ac:dyDescent="0.25">
      <c r="A155" s="601"/>
      <c r="B155" s="600"/>
      <c r="C155" s="123" t="str">
        <f>'натур показатели 2 работа'!C162</f>
        <v>розетка</v>
      </c>
      <c r="D155" s="69" t="str">
        <f>'натур показатели 2 работа'!D162</f>
        <v>шт</v>
      </c>
      <c r="E155" s="185">
        <f>'работа 1 иниц'!D285</f>
        <v>2.63</v>
      </c>
    </row>
    <row r="156" spans="1:5" ht="12" customHeight="1" x14ac:dyDescent="0.25">
      <c r="A156" s="601"/>
      <c r="B156" s="600"/>
      <c r="C156" s="123" t="str">
        <f>'натур показатели 2 работа'!C163</f>
        <v>розетка</v>
      </c>
      <c r="D156" s="69" t="str">
        <f>'натур показатели 2 работа'!D163</f>
        <v>шт</v>
      </c>
      <c r="E156" s="185">
        <f>'работа 1 иниц'!D286</f>
        <v>1.3149999999999999</v>
      </c>
    </row>
    <row r="157" spans="1:5" ht="12" customHeight="1" x14ac:dyDescent="0.25">
      <c r="A157" s="601"/>
      <c r="B157" s="600"/>
      <c r="C157" s="123" t="str">
        <f>'натур показатели 2 работа'!C164</f>
        <v>вилка прямая</v>
      </c>
      <c r="D157" s="69" t="str">
        <f>'натур показатели 2 работа'!D164</f>
        <v>шт</v>
      </c>
      <c r="E157" s="185">
        <f>'работа 1 иниц'!D287</f>
        <v>0.26300000000000001</v>
      </c>
    </row>
    <row r="158" spans="1:5" ht="12" customHeight="1" x14ac:dyDescent="0.25">
      <c r="A158" s="601"/>
      <c r="B158" s="600"/>
      <c r="C158" s="123" t="str">
        <f>'натур показатели 2 работа'!C165</f>
        <v>вилка белая</v>
      </c>
      <c r="D158" s="69" t="str">
        <f>'натур показатели 2 работа'!D165</f>
        <v>шт</v>
      </c>
      <c r="E158" s="185">
        <f>'работа 1 иниц'!D288</f>
        <v>1.052</v>
      </c>
    </row>
    <row r="159" spans="1:5" ht="12" customHeight="1" x14ac:dyDescent="0.25">
      <c r="A159" s="601"/>
      <c r="B159" s="600"/>
      <c r="C159" s="123" t="str">
        <f>'натур показатели 2 работа'!C166</f>
        <v>саморез 3,5*51</v>
      </c>
      <c r="D159" s="69" t="str">
        <f>'натур показатели 2 работа'!D166</f>
        <v>шт</v>
      </c>
      <c r="E159" s="185">
        <f>'работа 1 иниц'!D289</f>
        <v>191.99</v>
      </c>
    </row>
    <row r="160" spans="1:5" ht="12" customHeight="1" x14ac:dyDescent="0.25">
      <c r="A160" s="601"/>
      <c r="B160" s="600"/>
      <c r="C160" s="123" t="str">
        <f>'натур показатели 2 работа'!C167</f>
        <v>саморез 4,2*70</v>
      </c>
      <c r="D160" s="69" t="str">
        <f>'натур показатели 2 работа'!D167</f>
        <v>шт</v>
      </c>
      <c r="E160" s="185">
        <f>'работа 1 иниц'!D290</f>
        <v>236.70000000000002</v>
      </c>
    </row>
    <row r="161" spans="1:5" ht="12" customHeight="1" x14ac:dyDescent="0.25">
      <c r="A161" s="601"/>
      <c r="B161" s="600"/>
      <c r="C161" s="123" t="str">
        <f>'натур показатели 2 работа'!C168</f>
        <v>набор пилок</v>
      </c>
      <c r="D161" s="69" t="str">
        <f>'натур показатели 2 работа'!D168</f>
        <v>шт</v>
      </c>
      <c r="E161" s="185">
        <f>'работа 1 иниц'!D291</f>
        <v>0.78900000000000003</v>
      </c>
    </row>
    <row r="162" spans="1:5" ht="12" customHeight="1" x14ac:dyDescent="0.25">
      <c r="A162" s="601"/>
      <c r="B162" s="600"/>
      <c r="C162" s="123" t="str">
        <f>'натур показатели 2 работа'!C169</f>
        <v>комплект радиатора</v>
      </c>
      <c r="D162" s="69" t="str">
        <f>'натур показатели 2 работа'!D169</f>
        <v>шт</v>
      </c>
      <c r="E162" s="185">
        <f>'работа 1 иниц'!D292</f>
        <v>2.63</v>
      </c>
    </row>
    <row r="163" spans="1:5" ht="12" customHeight="1" x14ac:dyDescent="0.25">
      <c r="A163" s="601"/>
      <c r="B163" s="600"/>
      <c r="C163" s="123" t="str">
        <f>'натур показатели 2 работа'!C170</f>
        <v>кран шаровый</v>
      </c>
      <c r="D163" s="69" t="str">
        <f>'натур показатели 2 работа'!D170</f>
        <v>шт</v>
      </c>
      <c r="E163" s="185">
        <f>'работа 1 иниц'!D293</f>
        <v>5.26</v>
      </c>
    </row>
    <row r="164" spans="1:5" x14ac:dyDescent="0.25">
      <c r="A164" s="601"/>
      <c r="B164" s="600"/>
      <c r="C164" s="123" t="str">
        <f>'натур показатели 2 работа'!C171</f>
        <v>Лопата</v>
      </c>
      <c r="D164" s="69" t="str">
        <f>'натур показатели 2 работа'!D171</f>
        <v>шт</v>
      </c>
      <c r="E164" s="185">
        <f>'работа 1 иниц'!D294</f>
        <v>0.26300000000000001</v>
      </c>
    </row>
    <row r="165" spans="1:5" x14ac:dyDescent="0.25">
      <c r="A165" s="601"/>
      <c r="B165" s="600"/>
      <c r="C165" s="123" t="str">
        <f>'натур показатели 2 работа'!C172</f>
        <v>Пружина</v>
      </c>
      <c r="D165" s="69" t="str">
        <f>'натур показатели 2 работа'!D172</f>
        <v>шт</v>
      </c>
      <c r="E165" s="185">
        <f>'работа 1 иниц'!D295</f>
        <v>6.5750000000000002</v>
      </c>
    </row>
    <row r="166" spans="1:5" x14ac:dyDescent="0.25">
      <c r="A166" s="601"/>
      <c r="B166" s="600"/>
      <c r="C166" s="123" t="str">
        <f>'натур показатели 2 работа'!C173</f>
        <v>ГСМ 12,1457л.*247дней*44,27 руб.</v>
      </c>
      <c r="D166" s="69" t="str">
        <f>'натур показатели 2 работа'!D173</f>
        <v>шт</v>
      </c>
      <c r="E166" s="185">
        <f>'работа 1 иниц'!D296</f>
        <v>325.63081999999997</v>
      </c>
    </row>
    <row r="167" spans="1:5" x14ac:dyDescent="0.25">
      <c r="A167" s="601"/>
      <c r="B167" s="600"/>
      <c r="C167" s="123" t="str">
        <f>'натур показатели 2 работа'!C174</f>
        <v>Чехол для кресла-мешка</v>
      </c>
      <c r="D167" s="69" t="str">
        <f>'натур показатели 2 работа'!D174</f>
        <v>шт</v>
      </c>
      <c r="E167" s="185">
        <f>'работа 1 иниц'!D297</f>
        <v>1.5780000000000001</v>
      </c>
    </row>
    <row r="168" spans="1:5" x14ac:dyDescent="0.25">
      <c r="A168" s="601"/>
      <c r="B168" s="600"/>
      <c r="C168" s="123" t="str">
        <f>'натур показатели 2 работа'!C175</f>
        <v>Наполнитель для кресла-мешка</v>
      </c>
      <c r="D168" s="69" t="str">
        <f>'натур показатели 2 работа'!D175</f>
        <v>шт</v>
      </c>
      <c r="E168" s="185">
        <f>'работа 1 иниц'!D298</f>
        <v>0.52600000000000002</v>
      </c>
    </row>
    <row r="169" spans="1:5" ht="22.5" x14ac:dyDescent="0.25">
      <c r="A169" s="601"/>
      <c r="B169" s="600"/>
      <c r="C169" s="123" t="str">
        <f>'натур показатели 2 работа'!C176</f>
        <v>Фотобумага IST глянцевая 100 листов односторонняя 230гр/м</v>
      </c>
      <c r="D169" s="69" t="str">
        <f>'натур показатели 2 работа'!D176</f>
        <v>шт</v>
      </c>
      <c r="E169" s="185">
        <f>'работа 1 иниц'!D299</f>
        <v>2.63</v>
      </c>
    </row>
    <row r="170" spans="1:5" ht="22.5" x14ac:dyDescent="0.25">
      <c r="A170" s="601"/>
      <c r="B170" s="600"/>
      <c r="C170" s="123" t="str">
        <f>'натур показатели 2 работа'!C177</f>
        <v>Фотобумага IST глянцевая 100 листов односторонняя 180гр/м</v>
      </c>
      <c r="D170" s="69" t="str">
        <f>'натур показатели 2 работа'!D177</f>
        <v>шт</v>
      </c>
      <c r="E170" s="185">
        <f>'работа 1 иниц'!D300</f>
        <v>2.63</v>
      </c>
    </row>
    <row r="171" spans="1:5" ht="22.5" x14ac:dyDescent="0.25">
      <c r="A171" s="601"/>
      <c r="B171" s="600"/>
      <c r="C171" s="123" t="str">
        <f>'натур показатели 2 работа'!C178</f>
        <v>Фотобумага IST глянцевая 100 листов односторонняя 190гр/м</v>
      </c>
      <c r="D171" s="69" t="str">
        <f>'натур показатели 2 работа'!D178</f>
        <v>шт</v>
      </c>
      <c r="E171" s="185">
        <f>'работа 1 иниц'!D301</f>
        <v>5.26</v>
      </c>
    </row>
    <row r="172" spans="1:5" x14ac:dyDescent="0.25">
      <c r="A172" s="601"/>
      <c r="B172" s="600"/>
      <c r="C172" s="123" t="str">
        <f>'натур показатели 2 работа'!C179</f>
        <v>Тонер ECOSYS</v>
      </c>
      <c r="D172" s="69" t="str">
        <f>'натур показатели 2 работа'!D179</f>
        <v>шт</v>
      </c>
      <c r="E172" s="185">
        <f>'работа 1 иниц'!D302</f>
        <v>0.52600000000000002</v>
      </c>
    </row>
    <row r="173" spans="1:5" x14ac:dyDescent="0.25">
      <c r="A173" s="601"/>
      <c r="B173" s="600"/>
      <c r="C173" s="123" t="str">
        <f>'натур показатели 2 работа'!C180</f>
        <v>Картридж НР С2Р42АЕ</v>
      </c>
      <c r="D173" s="69" t="str">
        <f>'натур показатели 2 работа'!D180</f>
        <v>шт</v>
      </c>
      <c r="E173" s="185">
        <f>'работа 1 иниц'!D303</f>
        <v>0.52600000000000002</v>
      </c>
    </row>
    <row r="174" spans="1:5" x14ac:dyDescent="0.25">
      <c r="A174" s="601"/>
      <c r="B174" s="600"/>
      <c r="C174" s="123" t="str">
        <f>'натур показатели 2 работа'!C181</f>
        <v>Аккумулятор X-TREME Arctik  78.1</v>
      </c>
      <c r="D174" s="69" t="str">
        <f>'натур показатели 2 работа'!D181</f>
        <v>шт</v>
      </c>
      <c r="E174" s="185">
        <f>'работа 1 иниц'!D304</f>
        <v>0.26300000000000001</v>
      </c>
    </row>
    <row r="175" spans="1:5" ht="22.5" x14ac:dyDescent="0.25">
      <c r="A175" s="601"/>
      <c r="B175" s="600"/>
      <c r="C175" s="123" t="str">
        <f>'натур показатели 2 работа'!C182</f>
        <v>Амортизатор УАЗ 3159 задн. TRIALLI газомасл.3159-2915006 (3159-2915006)</v>
      </c>
      <c r="D175" s="69" t="str">
        <f>'натур показатели 2 работа'!D182</f>
        <v>шт</v>
      </c>
      <c r="E175" s="185">
        <f>'работа 1 иниц'!D305</f>
        <v>1.052</v>
      </c>
    </row>
    <row r="176" spans="1:5" x14ac:dyDescent="0.25">
      <c r="A176" s="601"/>
      <c r="B176" s="600"/>
      <c r="C176" s="123" t="str">
        <f>'натур показатели 2 работа'!C183</f>
        <v>Болт М10*1*25 кардана УАЗ в/сб(уп. 20 шт)</v>
      </c>
      <c r="D176" s="69" t="str">
        <f>'натур показатели 2 работа'!D183</f>
        <v>шт</v>
      </c>
      <c r="E176" s="185">
        <f>'работа 1 иниц'!D306</f>
        <v>4.2080000000000002</v>
      </c>
    </row>
    <row r="177" spans="1:5" ht="33.75" x14ac:dyDescent="0.25">
      <c r="A177" s="601"/>
      <c r="B177" s="600"/>
      <c r="C177" s="123" t="str">
        <f>'натур показатели 2 работа'!C184</f>
        <v>Винт М8*1,25*12 потай шлиц.торм.барабана Волга Г-2410 290605 (290605-п29)</v>
      </c>
      <c r="D177" s="69" t="str">
        <f>'натур показатели 2 работа'!D184</f>
        <v>шт</v>
      </c>
      <c r="E177" s="185">
        <f>'работа 1 иниц'!D307</f>
        <v>6.3120000000000003</v>
      </c>
    </row>
    <row r="178" spans="1:5" ht="22.5" x14ac:dyDescent="0.25">
      <c r="A178" s="601"/>
      <c r="B178" s="600"/>
      <c r="C178" s="123" t="str">
        <f>'натур показатели 2 работа'!C185</f>
        <v>Вкладыш шкворня УАЗ-3160(латунь н/о 2 усика)3160 2304023-10 (3160 2304023-10)</v>
      </c>
      <c r="D178" s="69" t="str">
        <f>'натур показатели 2 работа'!D185</f>
        <v>шт</v>
      </c>
      <c r="E178" s="185">
        <f>'работа 1 иниц'!D308</f>
        <v>2.1040000000000001</v>
      </c>
    </row>
    <row r="179" spans="1:5" ht="22.5" x14ac:dyDescent="0.25">
      <c r="A179" s="601"/>
      <c r="B179" s="600"/>
      <c r="C179" s="123" t="str">
        <f>'натур показатели 2 работа'!C186</f>
        <v>Втулка амортизатора Волга ,УАЗ полиуретан 451-2905432 (451-2905432)</v>
      </c>
      <c r="D179" s="69" t="str">
        <f>'натур показатели 2 работа'!D186</f>
        <v>шт</v>
      </c>
      <c r="E179" s="185">
        <f>'работа 1 иниц'!D309</f>
        <v>5.26</v>
      </c>
    </row>
    <row r="180" spans="1:5" ht="22.5" x14ac:dyDescent="0.25">
      <c r="A180" s="601"/>
      <c r="B180" s="600"/>
      <c r="C180" s="123" t="str">
        <f>'натур показатели 2 работа'!C187</f>
        <v>Гайка колесная  М14*1,5 (18, ключ 22) Волга, Соболь, УАЗ</v>
      </c>
      <c r="D180" s="69" t="str">
        <f>'натур показатели 2 работа'!D187</f>
        <v>шт</v>
      </c>
      <c r="E180" s="185">
        <f>'работа 1 иниц'!D310</f>
        <v>5.26</v>
      </c>
    </row>
    <row r="181" spans="1:5" ht="22.5" x14ac:dyDescent="0.25">
      <c r="A181" s="601"/>
      <c r="B181" s="600"/>
      <c r="C181" s="123" t="str">
        <f>'натур показатели 2 работа'!C188</f>
        <v>Катушка зажигания 405 дв.(АТЭ-1)3032.3705 (3032.3705)</v>
      </c>
      <c r="D181" s="69" t="str">
        <f>'натур показатели 2 работа'!D188</f>
        <v>шт</v>
      </c>
      <c r="E181" s="185">
        <f>'работа 1 иниц'!D311</f>
        <v>1.052</v>
      </c>
    </row>
    <row r="182" spans="1:5" ht="33.75" x14ac:dyDescent="0.25">
      <c r="A182" s="601"/>
      <c r="B182" s="600"/>
      <c r="C182" s="123" t="str">
        <f>'натур показатели 2 работа'!C189</f>
        <v>Колодка переднего тормоза (к-т 4 шт.)УАЗ Оригинал(ТИИР) 3163 3501088 (3163 3501088)</v>
      </c>
      <c r="D182" s="69" t="str">
        <f>'натур показатели 2 работа'!D189</f>
        <v>шт</v>
      </c>
      <c r="E182" s="185">
        <f>'работа 1 иниц'!D312</f>
        <v>1.052</v>
      </c>
    </row>
    <row r="183" spans="1:5" x14ac:dyDescent="0.25">
      <c r="A183" s="601"/>
      <c r="B183" s="600"/>
      <c r="C183" s="123" t="str">
        <f>'натур показатели 2 работа'!C190</f>
        <v>Кольцо крестовины карданного вала</v>
      </c>
      <c r="D183" s="69" t="str">
        <f>'натур показатели 2 работа'!D190</f>
        <v>шт</v>
      </c>
      <c r="E183" s="185">
        <f>'работа 1 иниц'!D313</f>
        <v>2.1040000000000001</v>
      </c>
    </row>
    <row r="184" spans="1:5" ht="33.75" x14ac:dyDescent="0.25">
      <c r="A184" s="601"/>
      <c r="B184" s="600"/>
      <c r="C184" s="123" t="str">
        <f>'натур показатели 2 работа'!C191</f>
        <v>Комплект ГРМ(полный)ЗМЗ 405-409 ЕВРО-3 "Идеальная фаза"(двухрядная цепь 72/92 Ditton)406.3906625-05 (406.3906625-05)</v>
      </c>
      <c r="D184" s="69" t="str">
        <f>'натур показатели 2 работа'!D191</f>
        <v>шт</v>
      </c>
      <c r="E184" s="185">
        <f>'работа 1 иниц'!D314</f>
        <v>0.26300000000000001</v>
      </c>
    </row>
    <row r="185" spans="1:5" ht="22.5" x14ac:dyDescent="0.25">
      <c r="A185" s="601"/>
      <c r="B185" s="600"/>
      <c r="C185" s="123" t="str">
        <f>'натур показатели 2 работа'!C192</f>
        <v>Комплект прокладок на дв.4091 Саморим УАЗ 452</v>
      </c>
      <c r="D185" s="69" t="str">
        <f>'натур показатели 2 работа'!D192</f>
        <v>шт</v>
      </c>
      <c r="E185" s="185">
        <f>'работа 1 иниц'!D315</f>
        <v>0.26300000000000001</v>
      </c>
    </row>
    <row r="186" spans="1:5" ht="33.75" x14ac:dyDescent="0.25">
      <c r="A186" s="601"/>
      <c r="B186" s="600"/>
      <c r="C186" s="123" t="str">
        <f>'натур показатели 2 работа'!C193</f>
        <v>Крестовина кардан.вала УАЗ(АДС)с масленкой и стопорными кольцами 42000.0469-2201025-00 (ВК469-2201025)</v>
      </c>
      <c r="D186" s="69" t="str">
        <f>'натур показатели 2 работа'!D193</f>
        <v>шт</v>
      </c>
      <c r="E186" s="185">
        <f>'работа 1 иниц'!D316</f>
        <v>1.052</v>
      </c>
    </row>
    <row r="187" spans="1:5" x14ac:dyDescent="0.25">
      <c r="A187" s="601"/>
      <c r="B187" s="600"/>
      <c r="C187" s="123" t="str">
        <f>'натур показатели 2 работа'!C194</f>
        <v>Накладка педали сцепления УАЗ 2206</v>
      </c>
      <c r="D187" s="69" t="str">
        <f>'натур показатели 2 работа'!D194</f>
        <v>шт</v>
      </c>
      <c r="E187" s="185">
        <f>'работа 1 иниц'!D317</f>
        <v>0.26300000000000001</v>
      </c>
    </row>
    <row r="188" spans="1:5" ht="22.5" x14ac:dyDescent="0.25">
      <c r="A188" s="601"/>
      <c r="B188" s="600"/>
      <c r="C188" s="123" t="str">
        <f>'натур показатели 2 работа'!C195</f>
        <v>Наконечник рулевой тяги левый "АДС-Expert" 469-3414057-01 (469-3414057-01)</v>
      </c>
      <c r="D188" s="69" t="str">
        <f>'натур показатели 2 работа'!D195</f>
        <v>шт</v>
      </c>
      <c r="E188" s="185">
        <f>'работа 1 иниц'!D318</f>
        <v>0.52600000000000002</v>
      </c>
    </row>
    <row r="189" spans="1:5" ht="22.5" x14ac:dyDescent="0.25">
      <c r="A189" s="601"/>
      <c r="B189" s="600"/>
      <c r="C189" s="123" t="str">
        <f>'натур показатели 2 работа'!C196</f>
        <v>Наконечник рулевой тяги правый "АДС-Expert" 469-3414056-01 (469-3414056-01)</v>
      </c>
      <c r="D189" s="69" t="str">
        <f>'натур показатели 2 работа'!D196</f>
        <v>шт</v>
      </c>
      <c r="E189" s="185">
        <f>'работа 1 иниц'!D319</f>
        <v>1.5780000000000001</v>
      </c>
    </row>
    <row r="190" spans="1:5" ht="22.5" x14ac:dyDescent="0.25">
      <c r="A190" s="601"/>
      <c r="B190" s="600"/>
      <c r="C190" s="123" t="str">
        <f>'натур показатели 2 работа'!C197</f>
        <v>Патрубки радиатора УАЗ Патриот 409дв.без кондиционера(силикон)(к-т 3шт)</v>
      </c>
      <c r="D190" s="69" t="str">
        <f>'натур показатели 2 работа'!D197</f>
        <v>шт</v>
      </c>
      <c r="E190" s="185">
        <f>'работа 1 иниц'!D320</f>
        <v>0.26300000000000001</v>
      </c>
    </row>
    <row r="191" spans="1:5" x14ac:dyDescent="0.25">
      <c r="A191" s="601"/>
      <c r="B191" s="600"/>
      <c r="C191" s="123" t="str">
        <f>'натур показатели 2 работа'!C198</f>
        <v>Подшипник ступичный 127509</v>
      </c>
      <c r="D191" s="69" t="str">
        <f>'натур показатели 2 работа'!D198</f>
        <v>шт</v>
      </c>
      <c r="E191" s="185">
        <f>'работа 1 иниц'!D321</f>
        <v>2.1040000000000001</v>
      </c>
    </row>
    <row r="192" spans="1:5" ht="22.5" customHeight="1" x14ac:dyDescent="0.25">
      <c r="A192" s="601"/>
      <c r="B192" s="600"/>
      <c r="C192" s="123" t="str">
        <f>'натур показатели 2 работа'!C199</f>
        <v>Провода в/в 4091 дв.с наконеч.силикон.4091-3707244 (4091-3707244)</v>
      </c>
      <c r="D192" s="69" t="str">
        <f>'натур показатели 2 работа'!D199</f>
        <v>шт</v>
      </c>
      <c r="E192" s="185">
        <f>'работа 1 иниц'!D322</f>
        <v>0.52600000000000002</v>
      </c>
    </row>
    <row r="193" spans="1:5" ht="22.5" x14ac:dyDescent="0.25">
      <c r="A193" s="601"/>
      <c r="B193" s="600"/>
      <c r="C193" s="123" t="str">
        <f>'натур показатели 2 работа'!C200</f>
        <v>Прокладка крышки полуоси(паронит)3151-2407048 (3151-2407048)</v>
      </c>
      <c r="D193" s="69" t="str">
        <f>'натур показатели 2 работа'!D200</f>
        <v>шт</v>
      </c>
      <c r="E193" s="185">
        <f>'работа 1 иниц'!D323</f>
        <v>2.63</v>
      </c>
    </row>
    <row r="194" spans="1:5" ht="33.75" x14ac:dyDescent="0.25">
      <c r="A194" s="601"/>
      <c r="B194" s="600"/>
      <c r="C194" s="123" t="str">
        <f>'натур показатели 2 работа'!C201</f>
        <v>Ремень (1275  мм 6РК) ЗМЗ-40524, 40525 ЕВРО -3 без ГУР "LUZAR" (40624 1308020-01)</v>
      </c>
      <c r="D194" s="69" t="str">
        <f>'натур показатели 2 работа'!D201</f>
        <v>шт</v>
      </c>
      <c r="E194" s="185">
        <f>'работа 1 иниц'!D324</f>
        <v>0.78900000000000003</v>
      </c>
    </row>
    <row r="195" spans="1:5" ht="33.75" x14ac:dyDescent="0.25">
      <c r="A195" s="601"/>
      <c r="B195" s="600"/>
      <c r="C195" s="123" t="str">
        <f>'натур показатели 2 работа'!C202</f>
        <v>Ремень 1195 - 6 РК привода ГУР "OLEX POLY V BELT"3163-00-1308020-02 (3163-00-1308020-02)</v>
      </c>
      <c r="D195" s="69" t="str">
        <f>'натур показатели 2 работа'!D202</f>
        <v>шт</v>
      </c>
      <c r="E195" s="185">
        <f>'работа 1 иниц'!D325</f>
        <v>0.78900000000000003</v>
      </c>
    </row>
    <row r="196" spans="1:5" ht="22.5" x14ac:dyDescent="0.25">
      <c r="A196" s="601"/>
      <c r="B196" s="600"/>
      <c r="C196" s="123" t="str">
        <f>'натур показатели 2 работа'!C203</f>
        <v>Ремень буксировочный 6/9т 6м (а/м до 3т)  Крюк/Крюк +сумка(олива) Tplus</v>
      </c>
      <c r="D196" s="69" t="str">
        <f>'натур показатели 2 работа'!D203</f>
        <v>шт</v>
      </c>
      <c r="E196" s="185">
        <f>'работа 1 иниц'!D326</f>
        <v>0.26300000000000001</v>
      </c>
    </row>
    <row r="197" spans="1:5" ht="33.75" x14ac:dyDescent="0.25">
      <c r="A197" s="601"/>
      <c r="B197" s="600"/>
      <c r="C197" s="123" t="str">
        <f>'натур показатели 2 работа'!C204</f>
        <v>Ремкомплект поворотного кулака УАЗ мост Спайсер с полиуретановым сальником 3160-2304052 (3160-2304052)</v>
      </c>
      <c r="D197" s="69" t="str">
        <f>'натур показатели 2 работа'!D204</f>
        <v>шт</v>
      </c>
      <c r="E197" s="185">
        <f>'работа 1 иниц'!D327</f>
        <v>1.052</v>
      </c>
    </row>
    <row r="198" spans="1:5" ht="45" x14ac:dyDescent="0.25">
      <c r="A198" s="601"/>
      <c r="B198" s="600"/>
      <c r="C198" s="123" t="str">
        <f>'натур показатели 2 работа'!C205</f>
        <v>Ремкомплект шкворня УАЗ Хантер,Патриот мост Спайсер н/о(2 уса) с вкладышами)"Ваксойл"3163-230401 (3163-230401)</v>
      </c>
      <c r="D198" s="69" t="str">
        <f>'натур показатели 2 работа'!D205</f>
        <v>шт</v>
      </c>
      <c r="E198" s="185">
        <f>'работа 1 иниц'!D328</f>
        <v>0.52600000000000002</v>
      </c>
    </row>
    <row r="199" spans="1:5" ht="33.75" x14ac:dyDescent="0.25">
      <c r="A199" s="601"/>
      <c r="B199" s="600"/>
      <c r="C199" s="123" t="str">
        <f>'натур показатели 2 работа'!C206</f>
        <v>Сайлентблок передней подвески УАЗ резинометаллический (малый) 3160-2909027 (3160-2909027)</v>
      </c>
      <c r="D199" s="69" t="str">
        <f>'натур показатели 2 работа'!D206</f>
        <v>шт</v>
      </c>
      <c r="E199" s="185">
        <f>'работа 1 иниц'!D329</f>
        <v>1.5780000000000001</v>
      </c>
    </row>
    <row r="200" spans="1:5" ht="22.5" x14ac:dyDescent="0.25">
      <c r="A200" s="601"/>
      <c r="B200" s="600"/>
      <c r="C200" s="123" t="str">
        <f>'натур показатели 2 работа'!C207</f>
        <v>Сайлентблок рессоры УАЗ-Патриот 3163(завод)3163-2912020 (3163-2912020)</v>
      </c>
      <c r="D200" s="69" t="str">
        <f>'натур показатели 2 работа'!D207</f>
        <v>шт</v>
      </c>
      <c r="E200" s="185">
        <f>'работа 1 иниц'!D330</f>
        <v>2.1040000000000001</v>
      </c>
    </row>
    <row r="201" spans="1:5" ht="33.75" x14ac:dyDescent="0.25">
      <c r="A201" s="601"/>
      <c r="B201" s="600"/>
      <c r="C201" s="123" t="str">
        <f>'натур показатели 2 работа'!C208</f>
        <v>Сальник (55х70х8) коленвала передний 406дв."Кортеко"(Германия)406.1005034-02 (406.1005034-02)</v>
      </c>
      <c r="D201" s="69" t="str">
        <f>'натур показатели 2 работа'!D208</f>
        <v>шт</v>
      </c>
      <c r="E201" s="185">
        <f>'работа 1 иниц'!D331</f>
        <v>0.52600000000000002</v>
      </c>
    </row>
    <row r="202" spans="1:5" ht="22.5" x14ac:dyDescent="0.25">
      <c r="A202" s="601"/>
      <c r="B202" s="600"/>
      <c r="C202" s="123" t="str">
        <f>'натур показатели 2 работа'!C209</f>
        <v>Сальник (60х85х10) ступицы  NAK International 3741-3103038 (3741-3103038)</v>
      </c>
      <c r="D202" s="69" t="str">
        <f>'натур показатели 2 работа'!D209</f>
        <v>шт</v>
      </c>
      <c r="E202" s="185">
        <f>'работа 1 иниц'!D332</f>
        <v>6.3120000000000003</v>
      </c>
    </row>
    <row r="203" spans="1:5" ht="22.5" x14ac:dyDescent="0.25">
      <c r="A203" s="601"/>
      <c r="B203" s="600"/>
      <c r="C203" s="123" t="str">
        <f>'натур показатели 2 работа'!C210</f>
        <v>Сальник к/вала задний 100л.с. 80х100х10(NAK intarnational)</v>
      </c>
      <c r="D203" s="69" t="str">
        <f>'натур показатели 2 работа'!D210</f>
        <v>шт</v>
      </c>
      <c r="E203" s="185">
        <f>'работа 1 иниц'!D333</f>
        <v>0.52600000000000002</v>
      </c>
    </row>
    <row r="204" spans="1:5" ht="33.75" x14ac:dyDescent="0.25">
      <c r="A204" s="601"/>
      <c r="B204" s="600"/>
      <c r="C204" s="123" t="str">
        <f>'натур показатели 2 работа'!C211</f>
        <v>Сальник хвостовика 42х68х 10/14,5 усиленный "NAK"3741-00-1701210-03 (3741-00-1701210-03)</v>
      </c>
      <c r="D204" s="69" t="str">
        <f>'натур показатели 2 работа'!D211</f>
        <v>шт</v>
      </c>
      <c r="E204" s="185">
        <f>'работа 1 иниц'!D334</f>
        <v>2.1040000000000001</v>
      </c>
    </row>
    <row r="205" spans="1:5" ht="33.75" x14ac:dyDescent="0.25">
      <c r="A205" s="601"/>
      <c r="B205" s="600"/>
      <c r="C205" s="123" t="str">
        <f>'натур показатели 2 работа'!C212</f>
        <v>Сальник шруса (в мет. обойме)(32х50х10)(19000078)3741-2304071 (3741-2304071)</v>
      </c>
      <c r="D205" s="69" t="str">
        <f>'натур показатели 2 работа'!D212</f>
        <v>шт</v>
      </c>
      <c r="E205" s="185">
        <f>'работа 1 иниц'!D335</f>
        <v>1.052</v>
      </c>
    </row>
    <row r="206" spans="1:5" ht="22.5" x14ac:dyDescent="0.25">
      <c r="A206" s="601"/>
      <c r="B206" s="600"/>
      <c r="C206" s="123" t="str">
        <f>'натур показатели 2 работа'!C213</f>
        <v>Свеча зажигания DENSO  Q16ТТ#4  4607#4 (1 шт.)</v>
      </c>
      <c r="D206" s="69" t="str">
        <f>'натур показатели 2 работа'!D213</f>
        <v>шт</v>
      </c>
      <c r="E206" s="185">
        <f>'работа 1 иниц'!D336</f>
        <v>2.1040000000000001</v>
      </c>
    </row>
    <row r="207" spans="1:5" ht="22.5" x14ac:dyDescent="0.25">
      <c r="A207" s="601"/>
      <c r="B207" s="600"/>
      <c r="C207" s="123" t="str">
        <f>'натур показатели 2 работа'!C214</f>
        <v>Скоба омегообр. с резьбой г/п 2,0т тип G 209 ХЛ</v>
      </c>
      <c r="D207" s="69" t="str">
        <f>'натур показатели 2 работа'!D214</f>
        <v>шт</v>
      </c>
      <c r="E207" s="185">
        <f>'работа 1 иниц'!D337</f>
        <v>0.26300000000000001</v>
      </c>
    </row>
    <row r="208" spans="1:5" ht="22.5" x14ac:dyDescent="0.25">
      <c r="A208" s="601"/>
      <c r="B208" s="600"/>
      <c r="C208" s="123" t="str">
        <f>'натур показатели 2 работа'!C215</f>
        <v>Строп динамический (рывковый) 6т,  9 м, серия "Стандарт" TPlus</v>
      </c>
      <c r="D208" s="69" t="str">
        <f>'натур показатели 2 работа'!D215</f>
        <v>шт</v>
      </c>
      <c r="E208" s="185">
        <f>'работа 1 иниц'!D338</f>
        <v>0.26300000000000001</v>
      </c>
    </row>
    <row r="209" spans="1:5" ht="33.75" x14ac:dyDescent="0.25">
      <c r="A209" s="601"/>
      <c r="B209" s="600"/>
      <c r="C209" s="123" t="str">
        <f>'натур показатели 2 работа'!C216</f>
        <v>Ступица заднего колеса УАЗ-3163(с имп.диском в сборе АБС)3163-3104006 (3163-3104006)</v>
      </c>
      <c r="D209" s="69" t="str">
        <f>'натур показатели 2 работа'!D216</f>
        <v>шт</v>
      </c>
      <c r="E209" s="185">
        <f>'работа 1 иниц'!D339</f>
        <v>0.26300000000000001</v>
      </c>
    </row>
    <row r="210" spans="1:5" ht="33.75" x14ac:dyDescent="0.25">
      <c r="A210" s="601"/>
      <c r="B210" s="600"/>
      <c r="C210" s="123" t="str">
        <f>'натур показатели 2 работа'!C217</f>
        <v>Сцепление к-т ЗМЗ-409"LUK"(с выжимным подшипником АДС)3163 06 1601006 (3163 06 1601006)</v>
      </c>
      <c r="D210" s="69" t="str">
        <f>'натур показатели 2 работа'!D217</f>
        <v>шт</v>
      </c>
      <c r="E210" s="185">
        <f>'работа 1 иниц'!D340</f>
        <v>0.26300000000000001</v>
      </c>
    </row>
    <row r="211" spans="1:5" ht="22.5" x14ac:dyDescent="0.25">
      <c r="A211" s="601"/>
      <c r="B211" s="600"/>
      <c r="C211" s="123" t="str">
        <f>'натур показатели 2 работа'!C218</f>
        <v>Термостат Т-118 t-87 (УМЗ4216) Электон  Т118-1306100-04</v>
      </c>
      <c r="D211" s="69" t="str">
        <f>'натур показатели 2 работа'!D218</f>
        <v>шт</v>
      </c>
      <c r="E211" s="185">
        <f>'работа 1 иниц'!D341</f>
        <v>0.52600000000000002</v>
      </c>
    </row>
    <row r="212" spans="1:5" ht="22.5" x14ac:dyDescent="0.25">
      <c r="A212" s="601"/>
      <c r="B212" s="600"/>
      <c r="C212" s="123" t="str">
        <f>'натур показатели 2 работа'!C219</f>
        <v>Тормозная жидкость G-Energy EXPERT DOT4 (0.910кг)</v>
      </c>
      <c r="D212" s="69" t="str">
        <f>'натур показатели 2 работа'!D219</f>
        <v>шт</v>
      </c>
      <c r="E212" s="185">
        <f>'работа 1 иниц'!D342</f>
        <v>0.52600000000000002</v>
      </c>
    </row>
    <row r="213" spans="1:5" ht="33.75" x14ac:dyDescent="0.25">
      <c r="A213" s="601"/>
      <c r="B213" s="600"/>
      <c r="C213" s="123" t="str">
        <f>'натур показатели 2 работа'!C220</f>
        <v>Уплотнитель свечного колодца 406 дв.(ЕВРО-2)(Силикон синий) 406.1007248-10 (406.1007248-10)</v>
      </c>
      <c r="D213" s="69" t="str">
        <f>'натур показатели 2 работа'!D220</f>
        <v>шт</v>
      </c>
      <c r="E213" s="185">
        <f>'работа 1 иниц'!D343</f>
        <v>0.26300000000000001</v>
      </c>
    </row>
    <row r="214" spans="1:5" ht="22.5" x14ac:dyDescent="0.25">
      <c r="A214" s="601"/>
      <c r="B214" s="600"/>
      <c r="C214" s="123" t="str">
        <f>'натур показатели 2 работа'!C221</f>
        <v>Утеплитель лобовой наружный с дверями УАЗ-452(ватин/венил/кожа)</v>
      </c>
      <c r="D214" s="69" t="str">
        <f>'натур показатели 2 работа'!D221</f>
        <v>шт</v>
      </c>
      <c r="E214" s="185">
        <f>'работа 1 иниц'!D344</f>
        <v>0.26300000000000001</v>
      </c>
    </row>
    <row r="215" spans="1:5" ht="33.75" x14ac:dyDescent="0.25">
      <c r="A215" s="601"/>
      <c r="B215" s="600"/>
      <c r="C215" s="123" t="str">
        <f>'натур показатели 2 работа'!C222</f>
        <v>Фильтр масляный MANN-FILTER W 914/2(W 812)(W 813)(W 914/2 n)(W 914/5)"10"</v>
      </c>
      <c r="D215" s="69" t="str">
        <f>'натур показатели 2 работа'!D222</f>
        <v>шт</v>
      </c>
      <c r="E215" s="185">
        <f>'работа 1 иниц'!D345</f>
        <v>1.052</v>
      </c>
    </row>
    <row r="216" spans="1:5" ht="33.75" x14ac:dyDescent="0.25">
      <c r="A216" s="601"/>
      <c r="B216" s="600"/>
      <c r="C216" s="123" t="str">
        <f>'натур показатели 2 работа'!C223</f>
        <v>Фильтр топливный УАЗ ( инжектор штуцера с резьбой)УАЗ Оригиннал 3151-96-1117010 (3151-96-1117010)</v>
      </c>
      <c r="D216" s="69" t="str">
        <f>'натур показатели 2 работа'!D223</f>
        <v>шт</v>
      </c>
      <c r="E216" s="185">
        <f>'работа 1 иниц'!D346</f>
        <v>1.052</v>
      </c>
    </row>
    <row r="217" spans="1:5" ht="33.75" x14ac:dyDescent="0.25">
      <c r="A217" s="601"/>
      <c r="B217" s="600"/>
      <c r="C217" s="123" t="str">
        <f>'натур показатели 2 работа'!C224</f>
        <v>Цилиндр тормозной задний УАЗ 3160,3162 Патриот(d=28мм)KNU 3160 3502040 (3160 3502040)</v>
      </c>
      <c r="D217" s="69" t="str">
        <f>'натур показатели 2 работа'!D224</f>
        <v>шт</v>
      </c>
      <c r="E217" s="185">
        <f>'работа 1 иниц'!D347</f>
        <v>1.052</v>
      </c>
    </row>
    <row r="218" spans="1:5" ht="22.5" x14ac:dyDescent="0.25">
      <c r="A218" s="601"/>
      <c r="B218" s="600"/>
      <c r="C218" s="123" t="str">
        <f>'натур показатели 2 работа'!C225</f>
        <v>Шакл (скоба омегообр. с резьбой г/п 3,25т)тип G209 ХЛ</v>
      </c>
      <c r="D218" s="69" t="str">
        <f>'натур показатели 2 работа'!D225</f>
        <v>шт</v>
      </c>
      <c r="E218" s="185">
        <f>'работа 1 иниц'!D348</f>
        <v>0.26300000000000001</v>
      </c>
    </row>
    <row r="219" spans="1:5" ht="22.5" x14ac:dyDescent="0.25">
      <c r="A219" s="601"/>
      <c r="B219" s="600"/>
      <c r="C219" s="123" t="str">
        <f>'натур показатели 2 работа'!C226</f>
        <v>Шкив помпы 406 дв текстолит 406.1308025-10 ( 406.1308025-10)</v>
      </c>
      <c r="D219" s="69" t="str">
        <f>'натур показатели 2 работа'!D226</f>
        <v>шт</v>
      </c>
      <c r="E219" s="185">
        <f>'работа 1 иниц'!D349</f>
        <v>0.78900000000000003</v>
      </c>
    </row>
    <row r="220" spans="1:5" ht="33.75" x14ac:dyDescent="0.25">
      <c r="A220" s="601"/>
      <c r="B220" s="600"/>
      <c r="C220" s="123" t="str">
        <f>'натур показатели 2 работа'!C227</f>
        <v>Шланг тормозной задний УАЗ-452 инжектор.ЕВРО-4 3962-3506061 (3962-3506061)</v>
      </c>
      <c r="D220" s="69" t="str">
        <f>'натур показатели 2 работа'!D227</f>
        <v>шт</v>
      </c>
      <c r="E220" s="185">
        <f>'работа 1 иниц'!D350</f>
        <v>1.052</v>
      </c>
    </row>
    <row r="221" spans="1:5" ht="33.75" x14ac:dyDescent="0.25">
      <c r="A221" s="601"/>
      <c r="B221" s="600"/>
      <c r="C221" s="123" t="str">
        <f>'натур показатели 2 работа'!C228</f>
        <v>Шланг тормозной передний УАЗ-452 инжектор Евро-4 3962-3506060 (3962-3506060)</v>
      </c>
      <c r="D221" s="69" t="str">
        <f>'натур показатели 2 работа'!D228</f>
        <v>шт</v>
      </c>
      <c r="E221" s="185">
        <f>'работа 1 иниц'!D351</f>
        <v>1.052</v>
      </c>
    </row>
    <row r="222" spans="1:5" ht="22.5" x14ac:dyDescent="0.25">
      <c r="A222" s="601"/>
      <c r="B222" s="600"/>
      <c r="C222" s="123" t="str">
        <f>'натур показатели 2 работа'!C229</f>
        <v>Шпилька колеса М 14х1,5х45  ГАЗ 2410,УАЗ 20-3103008-Б (20-3103008-Б)</v>
      </c>
      <c r="D222" s="69" t="str">
        <f>'натур показатели 2 работа'!D229</f>
        <v>шт</v>
      </c>
      <c r="E222" s="185">
        <f>'работа 1 иниц'!D352</f>
        <v>5.26</v>
      </c>
    </row>
    <row r="223" spans="1:5" ht="33.75" x14ac:dyDescent="0.25">
      <c r="A223" s="601"/>
      <c r="B223" s="600"/>
      <c r="C223" s="123" t="str">
        <f>'натур показатели 2 работа'!C230</f>
        <v>Элемент воздушного фильтра УАЗ 452 инжектор 4213,409 (низкий)Цитрон 9.1.97 1109080 (9.1.97 1109080)</v>
      </c>
      <c r="D223" s="69" t="str">
        <f>'натур показатели 2 работа'!D230</f>
        <v>шт</v>
      </c>
      <c r="E223" s="185">
        <f>'работа 1 иниц'!D353</f>
        <v>0.52600000000000002</v>
      </c>
    </row>
    <row r="224" spans="1:5" x14ac:dyDescent="0.25">
      <c r="A224" s="601"/>
      <c r="B224" s="600"/>
      <c r="C224" s="123" t="str">
        <f>'натур показатели 2 работа'!C231</f>
        <v>Кран шаровый</v>
      </c>
      <c r="D224" s="69" t="str">
        <f>'натур показатели 2 работа'!D231</f>
        <v>шт</v>
      </c>
      <c r="E224" s="185">
        <f>'работа 1 иниц'!D354</f>
        <v>0.26300000000000001</v>
      </c>
    </row>
    <row r="225" spans="1:5" x14ac:dyDescent="0.25">
      <c r="A225" s="601"/>
      <c r="B225" s="600"/>
      <c r="C225" s="123" t="str">
        <f>'натур показатели 2 работа'!C232</f>
        <v>Вода дист</v>
      </c>
      <c r="D225" s="69" t="str">
        <f>'натур показатели 2 работа'!D232</f>
        <v>шт</v>
      </c>
      <c r="E225" s="185">
        <f>'работа 1 иниц'!D355</f>
        <v>0.26300000000000001</v>
      </c>
    </row>
    <row r="226" spans="1:5" x14ac:dyDescent="0.25">
      <c r="A226" s="601"/>
      <c r="B226" s="600"/>
      <c r="C226" s="123" t="str">
        <f>'натур показатели 2 работа'!C233</f>
        <v>Кислота серная</v>
      </c>
      <c r="D226" s="69" t="str">
        <f>'натур показатели 2 работа'!D233</f>
        <v>шт</v>
      </c>
      <c r="E226" s="185">
        <f>'работа 1 иниц'!D356</f>
        <v>1.052</v>
      </c>
    </row>
    <row r="227" spans="1:5" x14ac:dyDescent="0.25">
      <c r="A227" s="601"/>
      <c r="B227" s="600"/>
      <c r="C227" s="123" t="str">
        <f>'натур показатели 2 работа'!C234</f>
        <v>Пакеты майка</v>
      </c>
      <c r="D227" s="69" t="str">
        <f>'натур показатели 2 работа'!D234</f>
        <v>шт</v>
      </c>
      <c r="E227" s="185">
        <f>'работа 1 иниц'!D357</f>
        <v>0.26300000000000001</v>
      </c>
    </row>
    <row r="228" spans="1:5" x14ac:dyDescent="0.25">
      <c r="A228" s="601"/>
      <c r="B228" s="600"/>
      <c r="C228" s="123" t="str">
        <f>'натур показатели 2 работа'!C235</f>
        <v>Уголок мебельный</v>
      </c>
      <c r="D228" s="69" t="str">
        <f>'натур показатели 2 работа'!D235</f>
        <v>шт</v>
      </c>
      <c r="E228" s="185">
        <f>'работа 1 иниц'!D358</f>
        <v>2.63</v>
      </c>
    </row>
    <row r="229" spans="1:5" x14ac:dyDescent="0.25">
      <c r="A229" s="601"/>
      <c r="B229" s="600"/>
      <c r="C229" s="123" t="str">
        <f>'натур показатели 2 работа'!C236</f>
        <v>Саморез по гипсокартону</v>
      </c>
      <c r="D229" s="69" t="str">
        <f>'натур показатели 2 работа'!D236</f>
        <v>шт</v>
      </c>
      <c r="E229" s="185">
        <f>'работа 1 иниц'!D359</f>
        <v>52.6</v>
      </c>
    </row>
    <row r="230" spans="1:5" x14ac:dyDescent="0.25">
      <c r="A230" s="601"/>
      <c r="B230" s="600"/>
      <c r="C230" s="123" t="str">
        <f>'натур показатели 2 работа'!C237</f>
        <v>Доместос</v>
      </c>
      <c r="D230" s="69" t="str">
        <f>'натур показатели 2 работа'!D237</f>
        <v>шт</v>
      </c>
      <c r="E230" s="185">
        <f>'работа 1 иниц'!D360</f>
        <v>1.3149999999999999</v>
      </c>
    </row>
    <row r="231" spans="1:5" x14ac:dyDescent="0.25">
      <c r="A231" s="601"/>
      <c r="B231" s="600"/>
      <c r="C231" s="123" t="str">
        <f>'натур показатели 2 работа'!C238</f>
        <v>Белизна</v>
      </c>
      <c r="D231" s="69" t="str">
        <f>'натур показатели 2 работа'!D238</f>
        <v>шт</v>
      </c>
      <c r="E231" s="185">
        <f>'работа 1 иниц'!D361</f>
        <v>1.3149999999999999</v>
      </c>
    </row>
    <row r="232" spans="1:5" x14ac:dyDescent="0.25">
      <c r="A232" s="601"/>
      <c r="B232" s="600"/>
      <c r="C232" s="123" t="str">
        <f>'натур показатели 2 работа'!C239</f>
        <v xml:space="preserve">Пемолюкс </v>
      </c>
      <c r="D232" s="69" t="str">
        <f>'натур показатели 2 работа'!D239</f>
        <v>шт</v>
      </c>
      <c r="E232" s="185">
        <f>'работа 1 иниц'!D362</f>
        <v>3.9450000000000003</v>
      </c>
    </row>
    <row r="233" spans="1:5" x14ac:dyDescent="0.25">
      <c r="A233" s="601"/>
      <c r="B233" s="600"/>
      <c r="C233" s="123" t="str">
        <f>'натур показатели 2 работа'!C240</f>
        <v>Мыло</v>
      </c>
      <c r="D233" s="69" t="str">
        <f>'натур показатели 2 работа'!D240</f>
        <v>шт</v>
      </c>
      <c r="E233" s="185">
        <f>'работа 1 иниц'!D363</f>
        <v>0.26300000000000001</v>
      </c>
    </row>
    <row r="234" spans="1:5" x14ac:dyDescent="0.25">
      <c r="A234" s="601"/>
      <c r="B234" s="600"/>
      <c r="C234" s="123" t="str">
        <f>'натур показатели 2 работа'!C241</f>
        <v>Стеклоочиститель с распылителем</v>
      </c>
      <c r="D234" s="69" t="str">
        <f>'натур показатели 2 работа'!D241</f>
        <v>шт</v>
      </c>
      <c r="E234" s="185">
        <f>'работа 1 иниц'!D364</f>
        <v>0.26300000000000001</v>
      </c>
    </row>
    <row r="235" spans="1:5" x14ac:dyDescent="0.25">
      <c r="A235" s="601"/>
      <c r="B235" s="600"/>
      <c r="C235" s="123" t="str">
        <f>'натур показатели 2 работа'!C242</f>
        <v>Стеклоочиститель (сменный блок)</v>
      </c>
      <c r="D235" s="69" t="str">
        <f>'натур показатели 2 работа'!D242</f>
        <v>шт</v>
      </c>
      <c r="E235" s="185">
        <f>'работа 1 иниц'!D365</f>
        <v>0.26300000000000001</v>
      </c>
    </row>
    <row r="236" spans="1:5" x14ac:dyDescent="0.25">
      <c r="A236" s="601"/>
      <c r="B236" s="600"/>
      <c r="C236" s="123" t="str">
        <f>'натур показатели 2 работа'!C243</f>
        <v>Губки</v>
      </c>
      <c r="D236" s="69" t="str">
        <f>'натур показатели 2 работа'!D243</f>
        <v>шт</v>
      </c>
      <c r="E236" s="185">
        <f>'работа 1 иниц'!D366</f>
        <v>0.52600000000000002</v>
      </c>
    </row>
    <row r="237" spans="1:5" x14ac:dyDescent="0.25">
      <c r="A237" s="601"/>
      <c r="B237" s="600"/>
      <c r="C237" s="123" t="str">
        <f>'натур показатели 2 работа'!C244</f>
        <v>Моющее средство МИФ</v>
      </c>
      <c r="D237" s="69" t="str">
        <f>'натур показатели 2 работа'!D244</f>
        <v>шт</v>
      </c>
      <c r="E237" s="185">
        <f>'работа 1 иниц'!D367</f>
        <v>1.3149999999999999</v>
      </c>
    </row>
    <row r="238" spans="1:5" x14ac:dyDescent="0.25">
      <c r="A238" s="601"/>
      <c r="B238" s="600"/>
      <c r="C238" s="123" t="str">
        <f>'натур показатели 2 работа'!C245</f>
        <v>Тряпка вискозная</v>
      </c>
      <c r="D238" s="69" t="str">
        <f>'натур показатели 2 работа'!D245</f>
        <v>шт</v>
      </c>
      <c r="E238" s="185">
        <f>'работа 1 иниц'!D368</f>
        <v>1.3149999999999999</v>
      </c>
    </row>
    <row r="239" spans="1:5" x14ac:dyDescent="0.25">
      <c r="A239" s="601"/>
      <c r="B239" s="600"/>
      <c r="C239" s="123" t="str">
        <f>'натур показатели 2 работа'!C246</f>
        <v>Тряпки</v>
      </c>
      <c r="D239" s="69" t="str">
        <f>'натур показатели 2 работа'!D246</f>
        <v>шт</v>
      </c>
      <c r="E239" s="185">
        <f>'работа 1 иниц'!D369</f>
        <v>1.3149999999999999</v>
      </c>
    </row>
    <row r="240" spans="1:5" x14ac:dyDescent="0.25">
      <c r="A240" s="601"/>
      <c r="B240" s="600"/>
      <c r="C240" s="123" t="str">
        <f>'натур показатели 2 работа'!C247</f>
        <v>Полотенца бумажные</v>
      </c>
      <c r="D240" s="69" t="str">
        <f>'натур показатели 2 работа'!D247</f>
        <v>шт</v>
      </c>
      <c r="E240" s="185">
        <f>'работа 1 иниц'!D370</f>
        <v>1.3149999999999999</v>
      </c>
    </row>
    <row r="241" spans="1:5" x14ac:dyDescent="0.25">
      <c r="A241" s="601"/>
      <c r="B241" s="600"/>
      <c r="C241" s="123" t="str">
        <f>'натур показатели 2 работа'!C248</f>
        <v>Железная губка</v>
      </c>
      <c r="D241" s="69" t="str">
        <f>'натур показатели 2 работа'!D248</f>
        <v>шт</v>
      </c>
      <c r="E241" s="185">
        <f>'работа 1 иниц'!D371</f>
        <v>0.52600000000000002</v>
      </c>
    </row>
    <row r="242" spans="1:5" x14ac:dyDescent="0.25">
      <c r="A242" s="601"/>
      <c r="B242" s="600"/>
      <c r="C242" s="123" t="str">
        <f>'натур показатели 2 работа'!C249</f>
        <v>Перчатки</v>
      </c>
      <c r="D242" s="69" t="str">
        <f>'натур показатели 2 работа'!D249</f>
        <v>шт</v>
      </c>
      <c r="E242" s="185">
        <f>'работа 1 иниц'!D372</f>
        <v>1.3149999999999999</v>
      </c>
    </row>
    <row r="243" spans="1:5" x14ac:dyDescent="0.25">
      <c r="A243" s="601"/>
      <c r="B243" s="600"/>
      <c r="C243" s="123" t="str">
        <f>'натур показатели 2 работа'!C250</f>
        <v>Блок гигиенический для унитаза</v>
      </c>
      <c r="D243" s="69" t="str">
        <f>'натур показатели 2 работа'!D250</f>
        <v>шт</v>
      </c>
      <c r="E243" s="185">
        <f>'работа 1 иниц'!D373</f>
        <v>0.52600000000000002</v>
      </c>
    </row>
    <row r="244" spans="1:5" x14ac:dyDescent="0.25">
      <c r="A244" s="601"/>
      <c r="B244" s="600"/>
      <c r="C244" s="123" t="str">
        <f>'натур показатели 2 работа'!C251</f>
        <v>Мыло</v>
      </c>
      <c r="D244" s="69" t="str">
        <f>'натур показатели 2 работа'!D251</f>
        <v>шт</v>
      </c>
      <c r="E244" s="185">
        <f>'работа 1 иниц'!D374</f>
        <v>1.3149999999999999</v>
      </c>
    </row>
    <row r="245" spans="1:5" x14ac:dyDescent="0.25">
      <c r="A245" s="601"/>
      <c r="B245" s="600"/>
      <c r="C245" s="123" t="str">
        <f>'натур показатели 2 работа'!C252</f>
        <v>Мешки для мусора 60 л</v>
      </c>
      <c r="D245" s="69" t="str">
        <f>'натур показатели 2 работа'!D252</f>
        <v>шт</v>
      </c>
      <c r="E245" s="185">
        <f>'работа 1 иниц'!D375</f>
        <v>2.63</v>
      </c>
    </row>
    <row r="246" spans="1:5" x14ac:dyDescent="0.25">
      <c r="A246" s="601"/>
      <c r="B246" s="600"/>
      <c r="C246" s="123" t="str">
        <f>'натур показатели 2 работа'!C253</f>
        <v>Мешки для мусора 120 л</v>
      </c>
      <c r="D246" s="69" t="str">
        <f>'натур показатели 2 работа'!D253</f>
        <v>шт</v>
      </c>
      <c r="E246" s="185">
        <f>'работа 1 иниц'!D376</f>
        <v>1.3149999999999999</v>
      </c>
    </row>
    <row r="247" spans="1:5" x14ac:dyDescent="0.25">
      <c r="A247" s="601"/>
      <c r="B247" s="600"/>
      <c r="C247" s="123" t="str">
        <f>'натур показатели 2 работа'!C254</f>
        <v>Мешки для мусора 35 л</v>
      </c>
      <c r="D247" s="69" t="str">
        <f>'натур показатели 2 работа'!D254</f>
        <v>шт</v>
      </c>
      <c r="E247" s="185">
        <f>'работа 1 иниц'!D377</f>
        <v>2.63</v>
      </c>
    </row>
    <row r="248" spans="1:5" x14ac:dyDescent="0.25">
      <c r="A248" s="601"/>
      <c r="B248" s="600"/>
      <c r="C248" s="123" t="str">
        <f>'натур показатели 2 работа'!C255</f>
        <v>Туалетная бумага</v>
      </c>
      <c r="D248" s="69" t="str">
        <f>'натур показатели 2 работа'!D255</f>
        <v>шт</v>
      </c>
      <c r="E248" s="185">
        <f>'работа 1 иниц'!D378</f>
        <v>12.624000000000001</v>
      </c>
    </row>
    <row r="249" spans="1:5" x14ac:dyDescent="0.25">
      <c r="A249" s="601"/>
      <c r="B249" s="600"/>
      <c r="C249" s="123" t="str">
        <f>'натур показатели 2 работа'!C256</f>
        <v>Салфетка</v>
      </c>
      <c r="D249" s="69" t="str">
        <f>'натур показатели 2 работа'!D256</f>
        <v>шт</v>
      </c>
      <c r="E249" s="185">
        <f>'работа 1 иниц'!D379</f>
        <v>1.3149999999999999</v>
      </c>
    </row>
    <row r="250" spans="1:5" x14ac:dyDescent="0.25">
      <c r="A250" s="601"/>
      <c r="B250" s="600"/>
      <c r="C250" s="123" t="str">
        <f>'натур показатели 2 работа'!C257</f>
        <v>Пакет</v>
      </c>
      <c r="D250" s="69" t="str">
        <f>'натур показатели 2 работа'!D257</f>
        <v>шт</v>
      </c>
      <c r="E250" s="185">
        <f>'работа 1 иниц'!D380</f>
        <v>0.78900000000000003</v>
      </c>
    </row>
    <row r="251" spans="1:5" x14ac:dyDescent="0.25">
      <c r="A251" s="601"/>
      <c r="B251" s="600"/>
      <c r="C251" s="123" t="str">
        <f>'натур показатели 2 работа'!C258</f>
        <v>Жидкое мыло</v>
      </c>
      <c r="D251" s="69" t="str">
        <f>'натур показатели 2 работа'!D258</f>
        <v>шт</v>
      </c>
      <c r="E251" s="185">
        <f>'работа 1 иниц'!D381</f>
        <v>1.3149999999999999</v>
      </c>
    </row>
    <row r="252" spans="1:5" x14ac:dyDescent="0.25">
      <c r="A252" s="601"/>
      <c r="B252" s="600"/>
      <c r="C252" s="123" t="str">
        <f>'натур показатели 2 работа'!C259</f>
        <v>Стеклоочиститель</v>
      </c>
      <c r="D252" s="69" t="str">
        <f>'натур показатели 2 работа'!D259</f>
        <v>шт</v>
      </c>
      <c r="E252" s="185">
        <f>'работа 1 иниц'!D382</f>
        <v>0.78900000000000003</v>
      </c>
    </row>
    <row r="253" spans="1:5" x14ac:dyDescent="0.25">
      <c r="A253" s="601"/>
      <c r="B253" s="600"/>
      <c r="C253" s="123" t="str">
        <f>'натур показатели 2 работа'!C260</f>
        <v>Блок для записи маленький</v>
      </c>
      <c r="D253" s="69" t="str">
        <f>'натур показатели 2 работа'!D260</f>
        <v>шт</v>
      </c>
      <c r="E253" s="185">
        <f>'работа 1 иниц'!D383</f>
        <v>0.52600000000000002</v>
      </c>
    </row>
    <row r="254" spans="1:5" x14ac:dyDescent="0.25">
      <c r="A254" s="601"/>
      <c r="B254" s="600"/>
      <c r="C254" s="123" t="str">
        <f>'натур показатели 2 работа'!C261</f>
        <v>Блок для записи большой</v>
      </c>
      <c r="D254" s="69" t="str">
        <f>'натур показатели 2 работа'!D261</f>
        <v>шт</v>
      </c>
      <c r="E254" s="185">
        <f>'работа 1 иниц'!D384</f>
        <v>0.78900000000000003</v>
      </c>
    </row>
    <row r="255" spans="1:5" x14ac:dyDescent="0.25">
      <c r="A255" s="601"/>
      <c r="B255" s="600"/>
      <c r="C255" s="123" t="str">
        <f>'натур показатели 2 работа'!C262</f>
        <v>Скрепки</v>
      </c>
      <c r="D255" s="69" t="str">
        <f>'натур показатели 2 работа'!D262</f>
        <v>шт</v>
      </c>
      <c r="E255" s="185">
        <f>'работа 1 иниц'!D385</f>
        <v>2.63</v>
      </c>
    </row>
    <row r="256" spans="1:5" x14ac:dyDescent="0.25">
      <c r="A256" s="601"/>
      <c r="B256" s="600"/>
      <c r="C256" s="123" t="str">
        <f>'натур показатели 2 работа'!C263</f>
        <v>Кнопки</v>
      </c>
      <c r="D256" s="69" t="str">
        <f>'натур показатели 2 работа'!D263</f>
        <v>шт</v>
      </c>
      <c r="E256" s="185">
        <f>'работа 1 иниц'!D386</f>
        <v>2.63</v>
      </c>
    </row>
    <row r="257" spans="1:5" x14ac:dyDescent="0.25">
      <c r="A257" s="601"/>
      <c r="B257" s="600"/>
      <c r="C257" s="123" t="str">
        <f>'натур показатели 2 работа'!C264</f>
        <v>Кнопки</v>
      </c>
      <c r="D257" s="69" t="str">
        <f>'натур показатели 2 работа'!D264</f>
        <v>шт</v>
      </c>
      <c r="E257" s="185">
        <f>'работа 1 иниц'!D387</f>
        <v>1.3149999999999999</v>
      </c>
    </row>
    <row r="258" spans="1:5" x14ac:dyDescent="0.25">
      <c r="A258" s="601"/>
      <c r="B258" s="600"/>
      <c r="C258" s="123" t="str">
        <f>'натур показатели 2 работа'!C265</f>
        <v>Степлер №10</v>
      </c>
      <c r="D258" s="69" t="str">
        <f>'натур показатели 2 работа'!D265</f>
        <v>шт</v>
      </c>
      <c r="E258" s="185">
        <f>'работа 1 иниц'!D388</f>
        <v>0.26300000000000001</v>
      </c>
    </row>
    <row r="259" spans="1:5" x14ac:dyDescent="0.25">
      <c r="A259" s="601"/>
      <c r="B259" s="600"/>
      <c r="C259" s="123" t="str">
        <f>'натур показатели 2 работа'!C266</f>
        <v>Степлер №24</v>
      </c>
      <c r="D259" s="69" t="str">
        <f>'натур показатели 2 работа'!D266</f>
        <v>шт</v>
      </c>
      <c r="E259" s="185">
        <f>'работа 1 иниц'!D389</f>
        <v>0.26300000000000001</v>
      </c>
    </row>
    <row r="260" spans="1:5" x14ac:dyDescent="0.25">
      <c r="A260" s="601"/>
      <c r="B260" s="600"/>
      <c r="C260" s="123" t="str">
        <f>'натур показатели 2 работа'!C267</f>
        <v>Степлер №21</v>
      </c>
      <c r="D260" s="69" t="str">
        <f>'натур показатели 2 работа'!D267</f>
        <v>шт</v>
      </c>
      <c r="E260" s="185">
        <f>'работа 1 иниц'!D390</f>
        <v>0.78900000000000003</v>
      </c>
    </row>
    <row r="261" spans="1:5" x14ac:dyDescent="0.25">
      <c r="A261" s="601"/>
      <c r="B261" s="600"/>
      <c r="C261" s="123" t="str">
        <f>'натур показатели 2 работа'!C268</f>
        <v>Скобы для степлера (большие)</v>
      </c>
      <c r="D261" s="69" t="str">
        <f>'натур показатели 2 работа'!D268</f>
        <v>шт</v>
      </c>
      <c r="E261" s="185">
        <f>'работа 1 иниц'!D391</f>
        <v>5.26</v>
      </c>
    </row>
    <row r="262" spans="1:5" x14ac:dyDescent="0.25">
      <c r="A262" s="601"/>
      <c r="B262" s="600"/>
      <c r="C262" s="123" t="str">
        <f>'натур показатели 2 работа'!C269</f>
        <v>Скобы для степлера (маленькие)</v>
      </c>
      <c r="D262" s="69" t="str">
        <f>'натур показатели 2 работа'!D269</f>
        <v>шт</v>
      </c>
      <c r="E262" s="185">
        <f>'работа 1 иниц'!D392</f>
        <v>2.63</v>
      </c>
    </row>
    <row r="263" spans="1:5" x14ac:dyDescent="0.25">
      <c r="A263" s="601"/>
      <c r="B263" s="600"/>
      <c r="C263" s="123" t="str">
        <f>'натур показатели 2 работа'!C270</f>
        <v>Ножницы маленькие</v>
      </c>
      <c r="D263" s="69" t="str">
        <f>'натур показатели 2 работа'!D270</f>
        <v>шт</v>
      </c>
      <c r="E263" s="185">
        <f>'работа 1 иниц'!D393</f>
        <v>0.78900000000000003</v>
      </c>
    </row>
    <row r="264" spans="1:5" x14ac:dyDescent="0.25">
      <c r="A264" s="601"/>
      <c r="B264" s="600"/>
      <c r="C264" s="123" t="str">
        <f>'натур показатели 2 работа'!C271</f>
        <v xml:space="preserve">Ножницы большие </v>
      </c>
      <c r="D264" s="69" t="str">
        <f>'натур показатели 2 работа'!D271</f>
        <v>шт</v>
      </c>
      <c r="E264" s="185">
        <f>'работа 1 иниц'!D394</f>
        <v>0.26300000000000001</v>
      </c>
    </row>
    <row r="265" spans="1:5" x14ac:dyDescent="0.25">
      <c r="A265" s="601"/>
      <c r="B265" s="600"/>
      <c r="C265" s="123" t="str">
        <f>'натур показатели 2 работа'!C272</f>
        <v>Ножницы</v>
      </c>
      <c r="D265" s="69" t="str">
        <f>'натур показатели 2 работа'!D272</f>
        <v>шт</v>
      </c>
      <c r="E265" s="185">
        <f>'работа 1 иниц'!D395</f>
        <v>2.63</v>
      </c>
    </row>
    <row r="266" spans="1:5" x14ac:dyDescent="0.25">
      <c r="A266" s="601"/>
      <c r="B266" s="600"/>
      <c r="C266" s="123" t="str">
        <f>'натур показатели 2 работа'!C273</f>
        <v>Линейка 40 см</v>
      </c>
      <c r="D266" s="69" t="str">
        <f>'натур показатели 2 работа'!D273</f>
        <v>шт</v>
      </c>
      <c r="E266" s="185">
        <f>'работа 1 иниц'!D396</f>
        <v>0.52600000000000002</v>
      </c>
    </row>
    <row r="267" spans="1:5" x14ac:dyDescent="0.25">
      <c r="A267" s="601"/>
      <c r="B267" s="600"/>
      <c r="C267" s="123" t="str">
        <f>'натур показатели 2 работа'!C274</f>
        <v>Линейка 30 см</v>
      </c>
      <c r="D267" s="69" t="str">
        <f>'натур показатели 2 работа'!D274</f>
        <v>шт</v>
      </c>
      <c r="E267" s="185">
        <f>'работа 1 иниц'!D397</f>
        <v>1.3149999999999999</v>
      </c>
    </row>
    <row r="268" spans="1:5" x14ac:dyDescent="0.25">
      <c r="A268" s="601"/>
      <c r="B268" s="600"/>
      <c r="C268" s="123" t="str">
        <f>'натур показатели 2 работа'!C275</f>
        <v>Линейка 20 см</v>
      </c>
      <c r="D268" s="69" t="str">
        <f>'натур показатели 2 работа'!D275</f>
        <v>шт</v>
      </c>
      <c r="E268" s="185">
        <f>'работа 1 иниц'!D398</f>
        <v>1.052</v>
      </c>
    </row>
    <row r="269" spans="1:5" x14ac:dyDescent="0.25">
      <c r="A269" s="601"/>
      <c r="B269" s="600"/>
      <c r="C269" s="123" t="str">
        <f>'натур показатели 2 работа'!C276</f>
        <v>Маркер черный толстый</v>
      </c>
      <c r="D269" s="69" t="str">
        <f>'натур показатели 2 работа'!D276</f>
        <v>шт</v>
      </c>
      <c r="E269" s="185">
        <f>'работа 1 иниц'!D399</f>
        <v>0.26300000000000001</v>
      </c>
    </row>
    <row r="270" spans="1:5" x14ac:dyDescent="0.25">
      <c r="A270" s="601"/>
      <c r="B270" s="600"/>
      <c r="C270" s="123" t="str">
        <f>'натур показатели 2 работа'!C277</f>
        <v>Маркер черный тонкий</v>
      </c>
      <c r="D270" s="69" t="str">
        <f>'натур показатели 2 работа'!D277</f>
        <v>шт</v>
      </c>
      <c r="E270" s="185">
        <f>'работа 1 иниц'!D400</f>
        <v>2.1040000000000001</v>
      </c>
    </row>
    <row r="271" spans="1:5" x14ac:dyDescent="0.25">
      <c r="A271" s="601"/>
      <c r="B271" s="600"/>
      <c r="C271" s="123" t="str">
        <f>'натур показатели 2 работа'!C278</f>
        <v>Маркер (набор)</v>
      </c>
      <c r="D271" s="69" t="str">
        <f>'натур показатели 2 работа'!D278</f>
        <v>шт</v>
      </c>
      <c r="E271" s="185">
        <f>'работа 1 иниц'!D401</f>
        <v>0.26300000000000001</v>
      </c>
    </row>
    <row r="272" spans="1:5" x14ac:dyDescent="0.25">
      <c r="A272" s="601"/>
      <c r="B272" s="600"/>
      <c r="C272" s="123" t="str">
        <f>'натур показатели 2 работа'!C279</f>
        <v>Маркер красный</v>
      </c>
      <c r="D272" s="69" t="str">
        <f>'натур показатели 2 работа'!D279</f>
        <v>шт</v>
      </c>
      <c r="E272" s="185">
        <f>'работа 1 иниц'!D402</f>
        <v>1.052</v>
      </c>
    </row>
    <row r="273" spans="1:5" x14ac:dyDescent="0.25">
      <c r="A273" s="601"/>
      <c r="B273" s="600"/>
      <c r="C273" s="123" t="str">
        <f>'натур показатели 2 работа'!C280</f>
        <v>Маркер (синий)</v>
      </c>
      <c r="D273" s="69" t="str">
        <f>'натур показатели 2 работа'!D280</f>
        <v>шт</v>
      </c>
      <c r="E273" s="185">
        <f>'работа 1 иниц'!D403</f>
        <v>0.52600000000000002</v>
      </c>
    </row>
    <row r="274" spans="1:5" x14ac:dyDescent="0.25">
      <c r="A274" s="601"/>
      <c r="B274" s="600"/>
      <c r="C274" s="123" t="str">
        <f>'натур показатели 2 работа'!C281</f>
        <v>Клей маленький</v>
      </c>
      <c r="D274" s="69" t="str">
        <f>'натур показатели 2 работа'!D281</f>
        <v>шт</v>
      </c>
      <c r="E274" s="185">
        <f>'работа 1 иниц'!D404</f>
        <v>2.367</v>
      </c>
    </row>
    <row r="275" spans="1:5" x14ac:dyDescent="0.25">
      <c r="A275" s="601"/>
      <c r="B275" s="600"/>
      <c r="C275" s="123" t="str">
        <f>'натур показатели 2 работа'!C282</f>
        <v>Клей большой</v>
      </c>
      <c r="D275" s="69" t="str">
        <f>'натур показатели 2 работа'!D282</f>
        <v>шт</v>
      </c>
      <c r="E275" s="185">
        <f>'работа 1 иниц'!D405</f>
        <v>1.3149999999999999</v>
      </c>
    </row>
    <row r="276" spans="1:5" x14ac:dyDescent="0.25">
      <c r="A276" s="601"/>
      <c r="B276" s="600"/>
      <c r="C276" s="123" t="str">
        <f>'натур показатели 2 работа'!C283</f>
        <v>Резак для резки бумаги</v>
      </c>
      <c r="D276" s="69" t="str">
        <f>'натур показатели 2 работа'!D283</f>
        <v>шт</v>
      </c>
      <c r="E276" s="185">
        <f>'работа 1 иниц'!D406</f>
        <v>0.26300000000000001</v>
      </c>
    </row>
    <row r="277" spans="1:5" x14ac:dyDescent="0.25">
      <c r="A277" s="601"/>
      <c r="B277" s="600"/>
      <c r="C277" s="123" t="str">
        <f>'натур показатели 2 работа'!C284</f>
        <v>Краска</v>
      </c>
      <c r="D277" s="69" t="str">
        <f>'натур показатели 2 работа'!D284</f>
        <v>шт</v>
      </c>
      <c r="E277" s="185">
        <f>'работа 1 иниц'!D407</f>
        <v>0.26300000000000001</v>
      </c>
    </row>
    <row r="278" spans="1:5" x14ac:dyDescent="0.25">
      <c r="A278" s="601"/>
      <c r="B278" s="600"/>
      <c r="C278" s="123" t="str">
        <f>'натур показатели 2 работа'!C285</f>
        <v>Зажим маленький</v>
      </c>
      <c r="D278" s="69" t="str">
        <f>'натур показатели 2 работа'!D285</f>
        <v>шт</v>
      </c>
      <c r="E278" s="185">
        <f>'работа 1 иниц'!D408</f>
        <v>2.63</v>
      </c>
    </row>
    <row r="279" spans="1:5" x14ac:dyDescent="0.25">
      <c r="A279" s="601"/>
      <c r="B279" s="600"/>
      <c r="C279" s="123" t="str">
        <f>'натур показатели 2 работа'!C286</f>
        <v>Зажим большой</v>
      </c>
      <c r="D279" s="69" t="str">
        <f>'натур показатели 2 работа'!D286</f>
        <v>шт</v>
      </c>
      <c r="E279" s="185">
        <f>'работа 1 иниц'!D409</f>
        <v>2.63</v>
      </c>
    </row>
    <row r="280" spans="1:5" x14ac:dyDescent="0.25">
      <c r="A280" s="601"/>
      <c r="B280" s="600"/>
      <c r="C280" s="123" t="str">
        <f>'натур показатели 2 работа'!C287</f>
        <v>Корректор ручка</v>
      </c>
      <c r="D280" s="69" t="str">
        <f>'натур показатели 2 работа'!D287</f>
        <v>шт</v>
      </c>
      <c r="E280" s="185">
        <f>'работа 1 иниц'!D410</f>
        <v>0.52600000000000002</v>
      </c>
    </row>
    <row r="281" spans="1:5" x14ac:dyDescent="0.25">
      <c r="A281" s="601"/>
      <c r="B281" s="600"/>
      <c r="C281" s="123" t="str">
        <f>'натур показатели 2 работа'!C288</f>
        <v>Корректор с кистью</v>
      </c>
      <c r="D281" s="69" t="str">
        <f>'натур показатели 2 работа'!D288</f>
        <v>шт</v>
      </c>
      <c r="E281" s="185">
        <f>'работа 1 иниц'!D411</f>
        <v>0.52600000000000002</v>
      </c>
    </row>
    <row r="282" spans="1:5" x14ac:dyDescent="0.25">
      <c r="A282" s="601"/>
      <c r="B282" s="600"/>
      <c r="C282" s="123" t="str">
        <f>'натур показатели 2 работа'!C289</f>
        <v>Скотч</v>
      </c>
      <c r="D282" s="69" t="str">
        <f>'натур показатели 2 работа'!D289</f>
        <v>шт</v>
      </c>
      <c r="E282" s="185">
        <f>'работа 1 иниц'!D412</f>
        <v>1.3149999999999999</v>
      </c>
    </row>
    <row r="283" spans="1:5" x14ac:dyDescent="0.25">
      <c r="A283" s="601"/>
      <c r="B283" s="600"/>
      <c r="C283" s="123" t="str">
        <f>'натур показатели 2 работа'!C290</f>
        <v>Нож канцелярский</v>
      </c>
      <c r="D283" s="69" t="str">
        <f>'натур показатели 2 работа'!D290</f>
        <v>шт</v>
      </c>
      <c r="E283" s="185">
        <f>'работа 1 иниц'!D413</f>
        <v>3.1560000000000001</v>
      </c>
    </row>
    <row r="284" spans="1:5" x14ac:dyDescent="0.25">
      <c r="A284" s="601"/>
      <c r="B284" s="600"/>
      <c r="C284" s="123" t="str">
        <f>'натур показатели 2 работа'!C291</f>
        <v>Нитки для сшивания (толстые)</v>
      </c>
      <c r="D284" s="69" t="str">
        <f>'натур показатели 2 работа'!D291</f>
        <v>шт</v>
      </c>
      <c r="E284" s="185">
        <f>'работа 1 иниц'!D414</f>
        <v>0.26300000000000001</v>
      </c>
    </row>
    <row r="285" spans="1:5" x14ac:dyDescent="0.25">
      <c r="A285" s="601"/>
      <c r="B285" s="600"/>
      <c r="C285" s="123" t="str">
        <f>'натур показатели 2 работа'!C292</f>
        <v>Шило</v>
      </c>
      <c r="D285" s="69" t="str">
        <f>'натур показатели 2 работа'!D292</f>
        <v>шт</v>
      </c>
      <c r="E285" s="185">
        <f>'работа 1 иниц'!D415</f>
        <v>0.26300000000000001</v>
      </c>
    </row>
    <row r="286" spans="1:5" x14ac:dyDescent="0.25">
      <c r="A286" s="601"/>
      <c r="B286" s="600"/>
      <c r="C286" s="123" t="str">
        <f>'натур показатели 2 работа'!C293</f>
        <v>Дырокол на 10 листов металл.</v>
      </c>
      <c r="D286" s="69" t="str">
        <f>'натур показатели 2 работа'!D293</f>
        <v>шт</v>
      </c>
      <c r="E286" s="185">
        <f>'работа 1 иниц'!D416</f>
        <v>1.052</v>
      </c>
    </row>
    <row r="287" spans="1:5" x14ac:dyDescent="0.25">
      <c r="A287" s="601"/>
      <c r="B287" s="600"/>
      <c r="C287" s="123" t="str">
        <f>'натур показатели 2 работа'!C294</f>
        <v>Дырокол на 70 листов черный</v>
      </c>
      <c r="D287" s="69" t="str">
        <f>'натур показатели 2 работа'!D294</f>
        <v>шт</v>
      </c>
      <c r="E287" s="185">
        <f>'работа 1 иниц'!D417</f>
        <v>0.26300000000000001</v>
      </c>
    </row>
    <row r="288" spans="1:5" x14ac:dyDescent="0.25">
      <c r="A288" s="601"/>
      <c r="B288" s="600"/>
      <c r="C288" s="123" t="str">
        <f>'натур показатели 2 работа'!C295</f>
        <v>Карандаш простой</v>
      </c>
      <c r="D288" s="69" t="str">
        <f>'натур показатели 2 работа'!D295</f>
        <v>шт</v>
      </c>
      <c r="E288" s="185">
        <f>'работа 1 иниц'!D418</f>
        <v>2.63</v>
      </c>
    </row>
    <row r="289" spans="1:5" x14ac:dyDescent="0.25">
      <c r="A289" s="601"/>
      <c r="B289" s="600"/>
      <c r="C289" s="123" t="str">
        <f>'натур показатели 2 работа'!C296</f>
        <v>Ручка</v>
      </c>
      <c r="D289" s="69" t="str">
        <f>'натур показатели 2 работа'!D296</f>
        <v>шт</v>
      </c>
      <c r="E289" s="185">
        <f>'работа 1 иниц'!D419</f>
        <v>0.26300000000000001</v>
      </c>
    </row>
    <row r="290" spans="1:5" x14ac:dyDescent="0.25">
      <c r="A290" s="601"/>
      <c r="B290" s="600"/>
      <c r="C290" s="123" t="str">
        <f>'натур показатели 2 работа'!C297</f>
        <v>Полотенце</v>
      </c>
      <c r="D290" s="69" t="str">
        <f>'натур показатели 2 работа'!D297</f>
        <v>шт</v>
      </c>
      <c r="E290" s="185">
        <f>'работа 1 иниц'!D420</f>
        <v>1.3149999999999999</v>
      </c>
    </row>
    <row r="291" spans="1:5" x14ac:dyDescent="0.25">
      <c r="A291" s="601"/>
      <c r="B291" s="600"/>
      <c r="C291" s="123" t="str">
        <f>'натур показатели 2 работа'!C298</f>
        <v>Комплект веник-совок</v>
      </c>
      <c r="D291" s="69" t="str">
        <f>'натур показатели 2 работа'!D298</f>
        <v>шт</v>
      </c>
      <c r="E291" s="185">
        <f>'работа 1 иниц'!D421</f>
        <v>0.78900000000000003</v>
      </c>
    </row>
    <row r="292" spans="1:5" x14ac:dyDescent="0.25">
      <c r="A292" s="601"/>
      <c r="B292" s="600"/>
      <c r="C292" s="123" t="str">
        <f>'натур показатели 2 работа'!C299</f>
        <v>Насадки на швабру</v>
      </c>
      <c r="D292" s="69" t="str">
        <f>'натур показатели 2 работа'!D299</f>
        <v>шт</v>
      </c>
      <c r="E292" s="185">
        <f>'работа 1 иниц'!D422</f>
        <v>1.052</v>
      </c>
    </row>
    <row r="293" spans="1:5" x14ac:dyDescent="0.25">
      <c r="A293" s="601"/>
      <c r="B293" s="600"/>
      <c r="C293" s="123" t="str">
        <f>'натур показатели 2 работа'!C300</f>
        <v>Бумага Svetocopy</v>
      </c>
      <c r="D293" s="69" t="str">
        <f>'натур показатели 2 работа'!D300</f>
        <v>шт</v>
      </c>
      <c r="E293" s="185">
        <f>'работа 1 иниц'!D423</f>
        <v>7.8900000000000006</v>
      </c>
    </row>
    <row r="294" spans="1:5" x14ac:dyDescent="0.25">
      <c r="A294" s="601"/>
      <c r="B294" s="600"/>
      <c r="C294" s="123" t="str">
        <f>'натур показатели 2 работа'!C301</f>
        <v>Папка накопитель</v>
      </c>
      <c r="D294" s="69" t="str">
        <f>'натур показатели 2 работа'!D301</f>
        <v>шт</v>
      </c>
      <c r="E294" s="185">
        <f>'работа 1 иниц'!D424</f>
        <v>0.26300000000000001</v>
      </c>
    </row>
    <row r="295" spans="1:5" x14ac:dyDescent="0.25">
      <c r="A295" s="601"/>
      <c r="B295" s="600"/>
      <c r="C295" s="123" t="str">
        <f>'натур показатели 2 работа'!C302</f>
        <v>Набор пил колец</v>
      </c>
      <c r="D295" s="69" t="str">
        <f>'натур показатели 2 работа'!D302</f>
        <v>шт</v>
      </c>
      <c r="E295" s="185">
        <f>'работа 1 иниц'!D425</f>
        <v>0.26300000000000001</v>
      </c>
    </row>
    <row r="296" spans="1:5" x14ac:dyDescent="0.25">
      <c r="A296" s="601"/>
      <c r="B296" s="600"/>
      <c r="C296" s="123" t="str">
        <f>'натур показатели 2 работа'!C303</f>
        <v>Клей</v>
      </c>
      <c r="D296" s="69" t="str">
        <f>'натур показатели 2 работа'!D303</f>
        <v>шт</v>
      </c>
      <c r="E296" s="185">
        <f>'работа 1 иниц'!D426</f>
        <v>0.26300000000000001</v>
      </c>
    </row>
    <row r="297" spans="1:5" x14ac:dyDescent="0.25">
      <c r="A297" s="601"/>
      <c r="B297" s="600"/>
      <c r="C297" s="123" t="str">
        <f>'натур показатели 2 работа'!C304</f>
        <v>Крышка горловины</v>
      </c>
      <c r="D297" s="69" t="str">
        <f>'натур показатели 2 работа'!D304</f>
        <v>шт</v>
      </c>
      <c r="E297" s="185">
        <f>'работа 1 иниц'!D427</f>
        <v>0.52600000000000002</v>
      </c>
    </row>
    <row r="298" spans="1:5" x14ac:dyDescent="0.25">
      <c r="A298" s="601"/>
      <c r="B298" s="600"/>
      <c r="C298" s="123" t="str">
        <f>'натур показатели 2 работа'!C305</f>
        <v>папка скоросшиватель</v>
      </c>
      <c r="D298" s="69" t="str">
        <f>'натур показатели 2 работа'!D305</f>
        <v>шт</v>
      </c>
      <c r="E298" s="185">
        <f>'работа 1 иниц'!D428</f>
        <v>2.63</v>
      </c>
    </row>
    <row r="299" spans="1:5" x14ac:dyDescent="0.25">
      <c r="A299" s="601"/>
      <c r="B299" s="600"/>
      <c r="C299" s="123" t="str">
        <f>'натур показатели 2 работа'!C306</f>
        <v>Прессвол РОР-АР 3,5*2,3м</v>
      </c>
      <c r="D299" s="726" t="s">
        <v>93</v>
      </c>
      <c r="E299" s="185">
        <f>'работа 1 иниц'!D429</f>
        <v>0.26300000000000001</v>
      </c>
    </row>
    <row r="300" spans="1:5" x14ac:dyDescent="0.25">
      <c r="A300" s="601"/>
      <c r="B300" s="600"/>
      <c r="C300" s="123" t="str">
        <f>'натур показатели 2 работа'!C307</f>
        <v>плинтус кабель-канал</v>
      </c>
      <c r="D300" s="726" t="s">
        <v>93</v>
      </c>
      <c r="E300" s="185">
        <f>'работа 1 иниц'!D430</f>
        <v>0.78900000000000003</v>
      </c>
    </row>
    <row r="301" spans="1:5" x14ac:dyDescent="0.25">
      <c r="A301" s="601"/>
      <c r="B301" s="600"/>
      <c r="C301" s="123" t="str">
        <f>'натур показатели 2 работа'!C308</f>
        <v>валик малярный L</v>
      </c>
      <c r="D301" s="726" t="s">
        <v>93</v>
      </c>
      <c r="E301" s="185">
        <f>'работа 1 иниц'!D431</f>
        <v>0.52600000000000002</v>
      </c>
    </row>
    <row r="302" spans="1:5" x14ac:dyDescent="0.25">
      <c r="A302" s="601"/>
      <c r="B302" s="600"/>
      <c r="C302" s="123" t="str">
        <f>'натур показатели 2 работа'!C309</f>
        <v>валик малярный профи</v>
      </c>
      <c r="D302" s="726" t="s">
        <v>93</v>
      </c>
      <c r="E302" s="185">
        <f>'работа 1 иниц'!D432</f>
        <v>0.52600000000000002</v>
      </c>
    </row>
    <row r="303" spans="1:5" x14ac:dyDescent="0.25">
      <c r="A303" s="601"/>
      <c r="B303" s="600"/>
      <c r="C303" s="123" t="str">
        <f>'натур показатели 2 работа'!C310</f>
        <v>кабель-канал</v>
      </c>
      <c r="D303" s="726" t="s">
        <v>93</v>
      </c>
      <c r="E303" s="185">
        <f>'работа 1 иниц'!D433</f>
        <v>1.3149999999999999</v>
      </c>
    </row>
    <row r="304" spans="1:5" x14ac:dyDescent="0.25">
      <c r="A304" s="601"/>
      <c r="B304" s="600"/>
      <c r="C304" s="123" t="str">
        <f>'натур показатели 2 работа'!C311</f>
        <v>ванночка малярная</v>
      </c>
      <c r="D304" s="726" t="s">
        <v>93</v>
      </c>
      <c r="E304" s="185">
        <f>'работа 1 иниц'!D434</f>
        <v>0.52600000000000002</v>
      </c>
    </row>
    <row r="305" spans="1:5" x14ac:dyDescent="0.25">
      <c r="A305" s="601"/>
      <c r="B305" s="600"/>
      <c r="C305" s="123" t="str">
        <f>'натур показатели 2 работа'!C312</f>
        <v>шайба крановая</v>
      </c>
      <c r="D305" s="726" t="s">
        <v>93</v>
      </c>
      <c r="E305" s="185">
        <f>'работа 1 иниц'!D435</f>
        <v>5.26</v>
      </c>
    </row>
    <row r="306" spans="1:5" x14ac:dyDescent="0.25">
      <c r="A306" s="601"/>
      <c r="B306" s="600"/>
      <c r="C306" s="123" t="str">
        <f>'натур показатели 2 работа'!C313</f>
        <v>эмаль аэрозоль</v>
      </c>
      <c r="D306" s="726" t="s">
        <v>93</v>
      </c>
      <c r="E306" s="185">
        <f>'работа 1 иниц'!D436</f>
        <v>0.52600000000000002</v>
      </c>
    </row>
    <row r="307" spans="1:5" x14ac:dyDescent="0.25">
      <c r="A307" s="601"/>
      <c r="B307" s="600"/>
      <c r="C307" s="123" t="str">
        <f>'натур показатели 2 работа'!C314</f>
        <v>Папка-регистратор</v>
      </c>
      <c r="D307" s="726" t="s">
        <v>93</v>
      </c>
      <c r="E307" s="185">
        <f>'работа 1 иниц'!D437</f>
        <v>5.7860000000000005</v>
      </c>
    </row>
    <row r="308" spans="1:5" x14ac:dyDescent="0.25">
      <c r="A308" s="601"/>
      <c r="B308" s="600"/>
      <c r="C308" s="123" t="str">
        <f>'натур показатели 2 работа'!C315</f>
        <v>Блок питания</v>
      </c>
      <c r="D308" s="726" t="s">
        <v>93</v>
      </c>
      <c r="E308" s="185">
        <f>'работа 1 иниц'!D438</f>
        <v>0.26300000000000001</v>
      </c>
    </row>
    <row r="309" spans="1:5" x14ac:dyDescent="0.25">
      <c r="A309" s="601"/>
      <c r="B309" s="600"/>
      <c r="C309" s="123" t="str">
        <f>'натур показатели 2 работа'!C316</f>
        <v>Кабель</v>
      </c>
      <c r="D309" s="726" t="s">
        <v>93</v>
      </c>
      <c r="E309" s="185">
        <f>'работа 1 иниц'!D439</f>
        <v>0.78900000000000003</v>
      </c>
    </row>
    <row r="310" spans="1:5" x14ac:dyDescent="0.25">
      <c r="A310" s="601"/>
      <c r="B310" s="600"/>
      <c r="C310" s="123" t="str">
        <f>'натур показатели 2 работа'!C317</f>
        <v>Карта памяти</v>
      </c>
      <c r="D310" s="726" t="s">
        <v>93</v>
      </c>
      <c r="E310" s="185">
        <f>'работа 1 иниц'!D440</f>
        <v>0.52600000000000002</v>
      </c>
    </row>
    <row r="311" spans="1:5" x14ac:dyDescent="0.25">
      <c r="A311" s="601"/>
      <c r="B311" s="600"/>
      <c r="C311" s="123" t="str">
        <f>'натур показатели 2 работа'!C318</f>
        <v>Кабель</v>
      </c>
      <c r="D311" s="726" t="s">
        <v>93</v>
      </c>
      <c r="E311" s="185">
        <f>'работа 1 иниц'!D441</f>
        <v>0.26300000000000001</v>
      </c>
    </row>
    <row r="312" spans="1:5" x14ac:dyDescent="0.25">
      <c r="A312" s="601"/>
      <c r="B312" s="600"/>
      <c r="C312" s="123" t="str">
        <f>'натур показатели 2 работа'!C319</f>
        <v>Бумага Lomond 230</v>
      </c>
      <c r="D312" s="726" t="s">
        <v>93</v>
      </c>
      <c r="E312" s="185">
        <f>'работа 1 иниц'!D442</f>
        <v>0.52600000000000002</v>
      </c>
    </row>
    <row r="313" spans="1:5" x14ac:dyDescent="0.25">
      <c r="A313" s="601"/>
      <c r="B313" s="600"/>
      <c r="C313" s="123" t="str">
        <f>'натур показатели 2 работа'!C320</f>
        <v>Бумага Lomond 140</v>
      </c>
      <c r="D313" s="726" t="s">
        <v>93</v>
      </c>
      <c r="E313" s="185">
        <f>'работа 1 иниц'!D443</f>
        <v>0.52600000000000002</v>
      </c>
    </row>
    <row r="314" spans="1:5" x14ac:dyDescent="0.25">
      <c r="A314" s="601"/>
      <c r="B314" s="600"/>
      <c r="C314" s="123" t="str">
        <f>'натур показатели 2 работа'!C321</f>
        <v>Бумага Lomond 200</v>
      </c>
      <c r="D314" s="726" t="s">
        <v>93</v>
      </c>
      <c r="E314" s="185">
        <f>'работа 1 иниц'!D444</f>
        <v>0.52600000000000002</v>
      </c>
    </row>
    <row r="315" spans="1:5" x14ac:dyDescent="0.25">
      <c r="A315" s="601"/>
      <c r="B315" s="600"/>
      <c r="C315" s="123" t="str">
        <f>'натур показатели 2 работа'!C322</f>
        <v>Бумага Cactus 180</v>
      </c>
      <c r="D315" s="726" t="s">
        <v>93</v>
      </c>
      <c r="E315" s="185">
        <f>'работа 1 иниц'!D445</f>
        <v>0.52600000000000002</v>
      </c>
    </row>
    <row r="316" spans="1:5" x14ac:dyDescent="0.25">
      <c r="A316" s="601"/>
      <c r="B316" s="600"/>
      <c r="C316" s="123" t="str">
        <f>'натур показатели 2 работа'!C323</f>
        <v>Бумага Cactus 230</v>
      </c>
      <c r="D316" s="726" t="s">
        <v>93</v>
      </c>
      <c r="E316" s="185">
        <f>'работа 1 иниц'!D446</f>
        <v>0.52600000000000002</v>
      </c>
    </row>
  </sheetData>
  <mergeCells count="18">
    <mergeCell ref="C51:E51"/>
    <mergeCell ref="C77:E77"/>
    <mergeCell ref="C85:E85"/>
    <mergeCell ref="C90:E90"/>
    <mergeCell ref="C95:E95"/>
    <mergeCell ref="C11:E11"/>
    <mergeCell ref="C15:E15"/>
    <mergeCell ref="C43:E43"/>
    <mergeCell ref="C99:E99"/>
    <mergeCell ref="C101:E101"/>
    <mergeCell ref="C44:E44"/>
    <mergeCell ref="A7:A316"/>
    <mergeCell ref="B7:B316"/>
    <mergeCell ref="D1:E1"/>
    <mergeCell ref="A3:E3"/>
    <mergeCell ref="A4:E4"/>
    <mergeCell ref="C7:E7"/>
    <mergeCell ref="C8:E8"/>
  </mergeCells>
  <pageMargins left="0.70866141732283472" right="0.70866141732283472" top="0.74803149606299213" bottom="0.74803149606299213" header="0.31496062992125984" footer="0.31496062992125984"/>
  <pageSetup paperSize="9" scale="54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L449"/>
  <sheetViews>
    <sheetView view="pageBreakPreview" topLeftCell="A411" zoomScale="85" zoomScaleNormal="90" zoomScaleSheetLayoutView="85" zoomScalePageLayoutView="70" workbookViewId="0">
      <selection sqref="A1:I44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4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667" t="str">
        <f>'работа 2 пат'!A1</f>
        <v>Учреждение: Муниципальное бюджетное учреждение  «Молодежный центр » Северо- Енисейского района</v>
      </c>
      <c r="B1" s="667"/>
      <c r="C1" s="667"/>
      <c r="D1" s="667"/>
      <c r="E1" s="667"/>
      <c r="F1" s="667"/>
      <c r="G1" s="667"/>
      <c r="H1" s="667"/>
      <c r="I1" s="667"/>
    </row>
    <row r="2" spans="1:9" ht="16.5" x14ac:dyDescent="0.25">
      <c r="A2" s="270" t="s">
        <v>557</v>
      </c>
      <c r="B2" s="270"/>
      <c r="C2" s="270"/>
      <c r="D2" s="270"/>
      <c r="E2" s="270"/>
      <c r="F2" s="270"/>
      <c r="G2" s="270"/>
      <c r="H2" s="270"/>
      <c r="I2" s="270"/>
    </row>
    <row r="3" spans="1:9" ht="58.15" customHeight="1" x14ac:dyDescent="0.25">
      <c r="A3" s="89" t="s">
        <v>424</v>
      </c>
      <c r="B3" s="668" t="s">
        <v>147</v>
      </c>
      <c r="C3" s="668"/>
      <c r="D3" s="668"/>
      <c r="E3" s="668"/>
      <c r="F3" s="668"/>
      <c r="G3" s="668"/>
      <c r="H3" s="668"/>
      <c r="I3" s="668"/>
    </row>
    <row r="4" spans="1:9" ht="15.75" x14ac:dyDescent="0.25">
      <c r="A4" s="661" t="s">
        <v>56</v>
      </c>
      <c r="B4" s="661"/>
      <c r="C4" s="661"/>
      <c r="D4" s="661"/>
      <c r="E4" s="661"/>
      <c r="F4" s="7"/>
      <c r="G4" s="183"/>
      <c r="H4" s="7"/>
      <c r="I4" s="7"/>
    </row>
    <row r="5" spans="1:9" ht="15.75" x14ac:dyDescent="0.25">
      <c r="A5" s="662" t="s">
        <v>45</v>
      </c>
      <c r="B5" s="662"/>
      <c r="C5" s="662"/>
      <c r="D5" s="662"/>
      <c r="E5" s="662"/>
      <c r="F5" s="7"/>
      <c r="G5" s="183"/>
      <c r="H5" s="7"/>
      <c r="I5" s="7"/>
    </row>
    <row r="6" spans="1:9" ht="15.75" x14ac:dyDescent="0.25">
      <c r="A6" s="662" t="s">
        <v>307</v>
      </c>
      <c r="B6" s="662"/>
      <c r="C6" s="662"/>
      <c r="D6" s="662"/>
      <c r="E6" s="662"/>
      <c r="F6" s="7"/>
      <c r="G6" s="183"/>
      <c r="H6" s="7"/>
      <c r="I6" s="7"/>
    </row>
    <row r="7" spans="1:9" ht="15.75" x14ac:dyDescent="0.25">
      <c r="A7" s="540" t="s">
        <v>52</v>
      </c>
      <c r="B7" s="540"/>
      <c r="C7" s="540"/>
      <c r="D7" s="540"/>
      <c r="E7" s="540"/>
      <c r="F7" s="7"/>
      <c r="G7" s="183"/>
      <c r="H7" s="7"/>
      <c r="I7" s="7"/>
    </row>
    <row r="8" spans="1:9" ht="27.6" customHeight="1" x14ac:dyDescent="0.25">
      <c r="A8" s="112" t="s">
        <v>34</v>
      </c>
      <c r="B8" s="70" t="s">
        <v>9</v>
      </c>
      <c r="C8" s="71"/>
      <c r="D8" s="541" t="s">
        <v>10</v>
      </c>
      <c r="E8" s="542"/>
      <c r="F8" s="265" t="s">
        <v>9</v>
      </c>
      <c r="G8" s="183"/>
      <c r="H8" s="7"/>
      <c r="I8" s="7"/>
    </row>
    <row r="9" spans="1:9" ht="15.75" x14ac:dyDescent="0.25">
      <c r="A9" s="112"/>
      <c r="B9" s="264"/>
      <c r="C9" s="264"/>
      <c r="D9" s="543" t="str">
        <f>'работа 3 добр'!D10:E10</f>
        <v>Заведующий МЦ</v>
      </c>
      <c r="E9" s="544"/>
      <c r="F9" s="72">
        <v>1</v>
      </c>
      <c r="G9" s="183"/>
      <c r="H9" s="7"/>
      <c r="I9" s="7"/>
    </row>
    <row r="10" spans="1:9" ht="15.75" x14ac:dyDescent="0.25">
      <c r="A10" s="70" t="str">
        <f>'[1]2016'!$AE$19</f>
        <v>Специалист по работе с молодежью</v>
      </c>
      <c r="B10" s="264">
        <v>5.6</v>
      </c>
      <c r="C10" s="264"/>
      <c r="D10" s="545" t="str">
        <f>'[1]2016'!$AE$25</f>
        <v>Водитель</v>
      </c>
      <c r="E10" s="546"/>
      <c r="F10" s="264">
        <v>1</v>
      </c>
      <c r="G10" s="183"/>
      <c r="H10" s="7"/>
      <c r="I10" s="7"/>
    </row>
    <row r="11" spans="1:9" ht="15.75" x14ac:dyDescent="0.25">
      <c r="A11" s="70" t="s">
        <v>108</v>
      </c>
      <c r="B11" s="264">
        <v>1</v>
      </c>
      <c r="C11" s="264"/>
      <c r="D11" s="545" t="s">
        <v>101</v>
      </c>
      <c r="E11" s="546"/>
      <c r="F11" s="264">
        <v>0.5</v>
      </c>
      <c r="G11" s="183"/>
      <c r="H11" s="7"/>
      <c r="I11" s="7"/>
    </row>
    <row r="12" spans="1:9" ht="15.75" x14ac:dyDescent="0.25">
      <c r="A12" s="112"/>
      <c r="B12" s="264"/>
      <c r="C12" s="264"/>
      <c r="D12" s="545" t="str">
        <f>'[1]2016'!$AE$26</f>
        <v xml:space="preserve">Уборщик служебных помещений </v>
      </c>
      <c r="E12" s="546"/>
      <c r="F12" s="264">
        <v>1</v>
      </c>
      <c r="G12" s="183"/>
      <c r="H12" s="7"/>
      <c r="I12" s="7"/>
    </row>
    <row r="13" spans="1:9" ht="15.75" x14ac:dyDescent="0.25">
      <c r="A13" s="73" t="s">
        <v>63</v>
      </c>
      <c r="B13" s="74">
        <f>SUM(B9:B11)</f>
        <v>6.6</v>
      </c>
      <c r="C13" s="73"/>
      <c r="D13" s="547" t="s">
        <v>63</v>
      </c>
      <c r="E13" s="548"/>
      <c r="F13" s="74">
        <f>SUM(F9:F12)</f>
        <v>3.5</v>
      </c>
      <c r="G13" s="183"/>
      <c r="H13" s="7"/>
      <c r="I13" s="7"/>
    </row>
    <row r="14" spans="1:9" ht="15.75" x14ac:dyDescent="0.25">
      <c r="A14" s="9" t="s">
        <v>46</v>
      </c>
      <c r="B14" s="7"/>
      <c r="C14" s="7"/>
      <c r="D14" s="7"/>
      <c r="E14" s="7"/>
      <c r="F14" s="7"/>
      <c r="G14" s="183"/>
      <c r="H14" s="7"/>
      <c r="I14" s="7"/>
    </row>
    <row r="15" spans="1:9" ht="15.75" x14ac:dyDescent="0.25">
      <c r="A15" s="659" t="s">
        <v>229</v>
      </c>
      <c r="B15" s="659"/>
      <c r="C15" s="659"/>
      <c r="D15" s="659"/>
      <c r="E15" s="659"/>
      <c r="F15" s="659"/>
      <c r="G15" s="183"/>
      <c r="H15" s="7"/>
      <c r="I15" s="7"/>
    </row>
    <row r="16" spans="1:9" ht="15.75" x14ac:dyDescent="0.25">
      <c r="A16" s="10" t="s">
        <v>219</v>
      </c>
      <c r="B16" s="10"/>
      <c r="C16" s="10"/>
      <c r="D16" s="10"/>
      <c r="E16" s="7"/>
      <c r="F16" s="7"/>
      <c r="G16" s="183"/>
      <c r="H16" s="7"/>
      <c r="I16" s="7"/>
    </row>
    <row r="17" spans="1:12" ht="15.75" x14ac:dyDescent="0.25">
      <c r="A17" s="660" t="s">
        <v>48</v>
      </c>
      <c r="B17" s="660"/>
      <c r="C17" s="660"/>
      <c r="D17" s="660"/>
      <c r="E17" s="660"/>
      <c r="F17" s="660"/>
      <c r="G17" s="183"/>
      <c r="H17" s="7"/>
      <c r="I17" s="7"/>
    </row>
    <row r="18" spans="1:12" ht="15.75" x14ac:dyDescent="0.25">
      <c r="A18" s="658" t="s">
        <v>230</v>
      </c>
      <c r="B18" s="658"/>
      <c r="C18" s="267"/>
      <c r="D18" s="172">
        <v>0.26300000000000001</v>
      </c>
      <c r="E18" s="172"/>
      <c r="F18" s="7"/>
      <c r="G18" s="183"/>
      <c r="H18" s="7"/>
      <c r="I18" s="7"/>
    </row>
    <row r="19" spans="1:12" ht="31.5" x14ac:dyDescent="0.25">
      <c r="A19" s="621" t="s">
        <v>0</v>
      </c>
      <c r="B19" s="621" t="s">
        <v>1</v>
      </c>
      <c r="C19" s="259"/>
      <c r="D19" s="621" t="s">
        <v>2</v>
      </c>
      <c r="E19" s="618" t="s">
        <v>3</v>
      </c>
      <c r="F19" s="620"/>
      <c r="G19" s="669" t="s">
        <v>35</v>
      </c>
      <c r="H19" s="259" t="s">
        <v>5</v>
      </c>
      <c r="I19" s="621" t="s">
        <v>6</v>
      </c>
    </row>
    <row r="20" spans="1:12" ht="15.75" x14ac:dyDescent="0.25">
      <c r="A20" s="621"/>
      <c r="B20" s="621"/>
      <c r="C20" s="259"/>
      <c r="D20" s="621"/>
      <c r="E20" s="259" t="s">
        <v>220</v>
      </c>
      <c r="F20" s="622" t="s">
        <v>223</v>
      </c>
      <c r="G20" s="669"/>
      <c r="H20" s="242" t="s">
        <v>194</v>
      </c>
      <c r="I20" s="621"/>
    </row>
    <row r="21" spans="1:12" ht="15.75" x14ac:dyDescent="0.25">
      <c r="A21" s="621"/>
      <c r="B21" s="621"/>
      <c r="C21" s="259"/>
      <c r="D21" s="621"/>
      <c r="E21" s="259" t="s">
        <v>4</v>
      </c>
      <c r="F21" s="623"/>
      <c r="G21" s="669"/>
      <c r="H21" s="259" t="s">
        <v>221</v>
      </c>
      <c r="I21" s="621"/>
    </row>
    <row r="22" spans="1:12" ht="15.75" x14ac:dyDescent="0.25">
      <c r="A22" s="621">
        <v>1</v>
      </c>
      <c r="B22" s="621">
        <v>2</v>
      </c>
      <c r="C22" s="259"/>
      <c r="D22" s="621">
        <v>3</v>
      </c>
      <c r="E22" s="621" t="s">
        <v>227</v>
      </c>
      <c r="F22" s="621">
        <v>5</v>
      </c>
      <c r="G22" s="521" t="s">
        <v>7</v>
      </c>
      <c r="H22" s="242" t="s">
        <v>195</v>
      </c>
      <c r="I22" s="488" t="s">
        <v>196</v>
      </c>
    </row>
    <row r="23" spans="1:12" ht="15.75" x14ac:dyDescent="0.25">
      <c r="A23" s="621"/>
      <c r="B23" s="621"/>
      <c r="C23" s="259"/>
      <c r="D23" s="621"/>
      <c r="E23" s="621"/>
      <c r="F23" s="621"/>
      <c r="G23" s="521"/>
      <c r="H23" s="54">
        <v>1775.4</v>
      </c>
      <c r="I23" s="488"/>
      <c r="J23" s="199">
        <f>I26+G119</f>
        <v>1684492.43507704</v>
      </c>
      <c r="K23" s="200"/>
      <c r="L23" s="7"/>
    </row>
    <row r="24" spans="1:12" ht="15.75" x14ac:dyDescent="0.25">
      <c r="A24" s="75" t="str">
        <f>'работа 2 пат'!A24</f>
        <v>Методист</v>
      </c>
      <c r="B24" s="90">
        <f>'работа 2 пат'!B24</f>
        <v>53969.5</v>
      </c>
      <c r="C24" s="90"/>
      <c r="D24" s="259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f>G24*H24+8068.9</f>
        <v>229835.62008400005</v>
      </c>
      <c r="J24" s="7">
        <v>1684492.44</v>
      </c>
      <c r="K24" s="199" t="s">
        <v>120</v>
      </c>
      <c r="L24" s="7"/>
    </row>
    <row r="25" spans="1:12" ht="15.75" x14ac:dyDescent="0.25">
      <c r="A25" s="78" t="str">
        <f>A10</f>
        <v>Специалист по работе с молодежью</v>
      </c>
      <c r="B25" s="198">
        <f>'работа 2 пат'!B25</f>
        <v>38488.199999999997</v>
      </c>
      <c r="C25" s="198"/>
      <c r="D25" s="259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f>G25*H25+8068.93+8069.09</f>
        <v>901791.03707903984</v>
      </c>
      <c r="J25" s="183">
        <f>J23-J24</f>
        <v>-4.922959953546524E-3</v>
      </c>
      <c r="K25" s="199" t="s">
        <v>135</v>
      </c>
      <c r="L25" s="7"/>
    </row>
    <row r="26" spans="1:12" ht="18.75" x14ac:dyDescent="0.3">
      <c r="A26" s="75" t="s">
        <v>107</v>
      </c>
      <c r="B26" s="79"/>
      <c r="C26" s="79"/>
      <c r="D26" s="259"/>
      <c r="E26" s="76"/>
      <c r="F26" s="77"/>
      <c r="G26" s="206"/>
      <c r="H26" s="176"/>
      <c r="I26" s="297">
        <f>SUM(I24:I25)</f>
        <v>1131626.6571630398</v>
      </c>
      <c r="L26" s="204"/>
    </row>
    <row r="27" spans="1:12" s="7" customFormat="1" ht="16.5" hidden="1" x14ac:dyDescent="0.25">
      <c r="A27" s="499" t="s">
        <v>189</v>
      </c>
      <c r="B27" s="499"/>
      <c r="C27" s="499"/>
      <c r="D27" s="499"/>
      <c r="E27" s="499"/>
      <c r="F27" s="499"/>
      <c r="G27" s="499"/>
      <c r="H27" s="499"/>
      <c r="I27" s="201"/>
      <c r="J27" s="199"/>
      <c r="K27" s="200"/>
    </row>
    <row r="28" spans="1:12" s="7" customFormat="1" ht="16.5" hidden="1" x14ac:dyDescent="0.25">
      <c r="A28" s="501" t="s">
        <v>67</v>
      </c>
      <c r="B28" s="522" t="s">
        <v>178</v>
      </c>
      <c r="C28" s="522"/>
      <c r="D28" s="522" t="s">
        <v>179</v>
      </c>
      <c r="E28" s="522"/>
      <c r="F28" s="522"/>
      <c r="G28" s="530"/>
      <c r="H28" s="530"/>
      <c r="I28" s="201"/>
      <c r="J28" s="199"/>
      <c r="K28" s="200"/>
    </row>
    <row r="29" spans="1:12" s="7" customFormat="1" ht="16.5" hidden="1" x14ac:dyDescent="0.25">
      <c r="A29" s="502"/>
      <c r="B29" s="522"/>
      <c r="C29" s="522"/>
      <c r="D29" s="522" t="s">
        <v>180</v>
      </c>
      <c r="E29" s="501" t="s">
        <v>181</v>
      </c>
      <c r="F29" s="531" t="s">
        <v>182</v>
      </c>
      <c r="G29" s="501" t="s">
        <v>188</v>
      </c>
      <c r="H29" s="501" t="s">
        <v>6</v>
      </c>
      <c r="I29" s="201"/>
      <c r="J29" s="199"/>
      <c r="K29" s="200"/>
    </row>
    <row r="30" spans="1:12" s="7" customFormat="1" ht="16.5" hidden="1" x14ac:dyDescent="0.25">
      <c r="A30" s="503"/>
      <c r="B30" s="522"/>
      <c r="C30" s="522"/>
      <c r="D30" s="522"/>
      <c r="E30" s="503"/>
      <c r="F30" s="531"/>
      <c r="G30" s="503"/>
      <c r="H30" s="503"/>
      <c r="I30" s="201"/>
      <c r="J30" s="199"/>
      <c r="K30" s="200"/>
    </row>
    <row r="31" spans="1:12" s="7" customFormat="1" ht="16.5" hidden="1" x14ac:dyDescent="0.25">
      <c r="A31" s="250">
        <v>1</v>
      </c>
      <c r="B31" s="515">
        <v>2</v>
      </c>
      <c r="C31" s="516"/>
      <c r="D31" s="250">
        <v>3</v>
      </c>
      <c r="E31" s="250">
        <v>4</v>
      </c>
      <c r="F31" s="250">
        <v>5</v>
      </c>
      <c r="G31" s="250">
        <v>6</v>
      </c>
      <c r="H31" s="250">
        <v>7</v>
      </c>
      <c r="I31" s="201"/>
      <c r="J31" s="199"/>
      <c r="K31" s="200"/>
    </row>
    <row r="32" spans="1:12" s="7" customFormat="1" ht="16.5" hidden="1" x14ac:dyDescent="0.25">
      <c r="A32" s="237" t="s">
        <v>108</v>
      </c>
      <c r="B32" s="237">
        <v>0.24</v>
      </c>
      <c r="C32" s="238">
        <v>1</v>
      </c>
      <c r="D32" s="165">
        <v>2074.6</v>
      </c>
      <c r="E32" s="124">
        <f t="shared" ref="E32:E33" si="0">D32*12</f>
        <v>24895.199999999997</v>
      </c>
      <c r="F32" s="165">
        <f>18363.9*0.24</f>
        <v>4407.3360000000002</v>
      </c>
      <c r="G32" s="202">
        <f>F32*30.2%</f>
        <v>1331.015472</v>
      </c>
      <c r="H32" s="202">
        <f>F32+G32</f>
        <v>5738.3514720000003</v>
      </c>
      <c r="I32" s="201"/>
    </row>
    <row r="33" spans="1:11" s="7" customFormat="1" ht="15.6" hidden="1" customHeight="1" x14ac:dyDescent="0.25">
      <c r="A33" s="237" t="s">
        <v>184</v>
      </c>
      <c r="B33" s="515">
        <f>5.6*0.24</f>
        <v>1.3439999999999999</v>
      </c>
      <c r="C33" s="516"/>
      <c r="D33" s="165">
        <f>1302.85*B33</f>
        <v>1751.0303999999996</v>
      </c>
      <c r="E33" s="124">
        <f t="shared" si="0"/>
        <v>21012.364799999996</v>
      </c>
      <c r="F33" s="165">
        <f>64311.87*0.24</f>
        <v>15434.8488</v>
      </c>
      <c r="G33" s="202">
        <f>F33*30.2%</f>
        <v>4661.3243376</v>
      </c>
      <c r="H33" s="202">
        <f>F33+G33</f>
        <v>20096.173137599999</v>
      </c>
    </row>
    <row r="34" spans="1:11" s="7" customFormat="1" ht="18.75" hidden="1" x14ac:dyDescent="0.25">
      <c r="A34" s="251"/>
      <c r="B34" s="523">
        <f>SUM(B32:C33)</f>
        <v>2.5839999999999996</v>
      </c>
      <c r="C34" s="523"/>
      <c r="D34" s="141">
        <f>SUM(D32:D33)</f>
        <v>3825.6303999999996</v>
      </c>
      <c r="E34" s="141">
        <f>SUM(E32:E33)</f>
        <v>45907.564799999993</v>
      </c>
      <c r="F34" s="141">
        <f>SUM(F32:F33)</f>
        <v>19842.184799999999</v>
      </c>
      <c r="G34" s="141">
        <f>SUM(G32:G33)</f>
        <v>5992.3398096000001</v>
      </c>
      <c r="H34" s="292"/>
      <c r="I34" s="183"/>
    </row>
    <row r="35" spans="1:11" ht="14.45" hidden="1" customHeight="1" x14ac:dyDescent="0.25">
      <c r="A35" s="499" t="s">
        <v>193</v>
      </c>
      <c r="B35" s="499"/>
      <c r="C35" s="499"/>
      <c r="D35" s="499"/>
      <c r="E35" s="499"/>
      <c r="F35" s="499"/>
      <c r="G35" s="499"/>
      <c r="H35" s="499"/>
      <c r="I35" s="166"/>
      <c r="J35" s="166"/>
    </row>
    <row r="36" spans="1:11" ht="28.9" hidden="1" customHeight="1" x14ac:dyDescent="0.25">
      <c r="A36" s="501" t="s">
        <v>67</v>
      </c>
      <c r="B36" s="522" t="s">
        <v>178</v>
      </c>
      <c r="C36" s="522"/>
      <c r="D36" s="510" t="s">
        <v>179</v>
      </c>
      <c r="E36" s="512"/>
      <c r="F36" s="252"/>
      <c r="G36" s="45"/>
    </row>
    <row r="37" spans="1:11" ht="14.45" hidden="1" customHeight="1" x14ac:dyDescent="0.25">
      <c r="A37" s="502"/>
      <c r="B37" s="522"/>
      <c r="C37" s="522"/>
      <c r="D37" s="522" t="s">
        <v>180</v>
      </c>
      <c r="E37" s="501" t="s">
        <v>188</v>
      </c>
      <c r="F37" s="501" t="s">
        <v>192</v>
      </c>
      <c r="G37" s="45"/>
    </row>
    <row r="38" spans="1:11" hidden="1" x14ac:dyDescent="0.25">
      <c r="A38" s="503"/>
      <c r="B38" s="522"/>
      <c r="C38" s="522"/>
      <c r="D38" s="522"/>
      <c r="E38" s="503"/>
      <c r="F38" s="503"/>
      <c r="G38" s="45"/>
    </row>
    <row r="39" spans="1:11" hidden="1" x14ac:dyDescent="0.25">
      <c r="A39" s="250">
        <v>1</v>
      </c>
      <c r="B39" s="515">
        <v>2</v>
      </c>
      <c r="C39" s="516"/>
      <c r="D39" s="250">
        <v>3</v>
      </c>
      <c r="E39" s="250">
        <v>6</v>
      </c>
      <c r="F39" s="250">
        <v>7</v>
      </c>
      <c r="G39" s="45"/>
    </row>
    <row r="40" spans="1:11" hidden="1" x14ac:dyDescent="0.25">
      <c r="A40" s="237" t="s">
        <v>184</v>
      </c>
      <c r="B40" s="515">
        <f>B33</f>
        <v>1.3439999999999999</v>
      </c>
      <c r="C40" s="516"/>
      <c r="D40" s="165">
        <v>4218.1400000000003</v>
      </c>
      <c r="E40" s="202">
        <f>D40*30.2%</f>
        <v>1273.8782800000001</v>
      </c>
      <c r="F40" s="202">
        <f>(E40+D40)*B40*12+8.27</f>
        <v>88583.540819839996</v>
      </c>
      <c r="G40" s="45"/>
    </row>
    <row r="41" spans="1:11" ht="18.75" hidden="1" x14ac:dyDescent="0.25">
      <c r="A41" s="251"/>
      <c r="B41" s="523">
        <f>SUM(B40:C40)</f>
        <v>1.3439999999999999</v>
      </c>
      <c r="C41" s="523"/>
      <c r="D41" s="141">
        <f>SUM(D40:D40)</f>
        <v>4218.1400000000003</v>
      </c>
      <c r="E41" s="141">
        <f>SUM(E40:E40)</f>
        <v>1273.8782800000001</v>
      </c>
      <c r="F41" s="292"/>
      <c r="G41" s="45"/>
    </row>
    <row r="42" spans="1:11" ht="15.75" x14ac:dyDescent="0.25">
      <c r="A42" s="629" t="s">
        <v>65</v>
      </c>
      <c r="B42" s="629"/>
      <c r="C42" s="629"/>
      <c r="D42" s="629"/>
      <c r="E42" s="629"/>
      <c r="F42" s="629"/>
      <c r="G42" s="183"/>
      <c r="H42" s="7"/>
      <c r="I42" s="7"/>
    </row>
    <row r="43" spans="1:11" ht="15.75" x14ac:dyDescent="0.25">
      <c r="A43" s="268" t="s">
        <v>90</v>
      </c>
      <c r="B43" s="6" t="str">
        <f>'работа 3 добр'!B48</f>
        <v>10 командировок</v>
      </c>
      <c r="C43" s="6"/>
      <c r="D43" s="6"/>
      <c r="E43" s="7"/>
      <c r="F43" s="7"/>
      <c r="G43" s="183"/>
      <c r="H43" s="7"/>
      <c r="I43" s="7"/>
      <c r="K43" s="204"/>
    </row>
    <row r="44" spans="1:11" ht="15.75" x14ac:dyDescent="0.25">
      <c r="A44" s="7"/>
      <c r="B44" s="7"/>
      <c r="C44" s="7"/>
      <c r="D44" s="174">
        <f>D18</f>
        <v>0.26300000000000001</v>
      </c>
      <c r="E44" s="7"/>
      <c r="F44" s="7"/>
      <c r="G44" s="183"/>
      <c r="H44" s="7"/>
      <c r="I44" s="7"/>
    </row>
    <row r="45" spans="1:11" ht="15.75" x14ac:dyDescent="0.25">
      <c r="A45" s="621" t="s">
        <v>139</v>
      </c>
      <c r="B45" s="621"/>
      <c r="C45" s="259"/>
      <c r="D45" s="621" t="s">
        <v>11</v>
      </c>
      <c r="E45" s="622" t="s">
        <v>53</v>
      </c>
      <c r="F45" s="622" t="s">
        <v>15</v>
      </c>
      <c r="G45" s="673" t="s">
        <v>6</v>
      </c>
      <c r="H45" s="7"/>
      <c r="I45" s="7"/>
    </row>
    <row r="46" spans="1:11" ht="7.15" customHeight="1" x14ac:dyDescent="0.25">
      <c r="A46" s="621"/>
      <c r="B46" s="621"/>
      <c r="C46" s="259"/>
      <c r="D46" s="621"/>
      <c r="E46" s="623"/>
      <c r="F46" s="623"/>
      <c r="G46" s="674"/>
      <c r="H46" s="7"/>
      <c r="I46" s="7"/>
    </row>
    <row r="47" spans="1:11" ht="15.75" x14ac:dyDescent="0.25">
      <c r="A47" s="618">
        <v>1</v>
      </c>
      <c r="B47" s="620"/>
      <c r="C47" s="258"/>
      <c r="D47" s="259">
        <v>2</v>
      </c>
      <c r="E47" s="272">
        <v>3</v>
      </c>
      <c r="F47" s="259">
        <v>4</v>
      </c>
      <c r="G47" s="86" t="s">
        <v>75</v>
      </c>
      <c r="H47" s="7"/>
      <c r="I47" s="7"/>
    </row>
    <row r="48" spans="1:11" ht="15.75" x14ac:dyDescent="0.25">
      <c r="A48" s="643" t="str">
        <f>'работа 3 добр'!A53</f>
        <v>Суточные</v>
      </c>
      <c r="B48" s="644"/>
      <c r="C48" s="262"/>
      <c r="D48" s="259" t="str">
        <f>'работа 3 добр'!D53</f>
        <v>сутки</v>
      </c>
      <c r="E48" s="272">
        <f>D44</f>
        <v>0.26300000000000001</v>
      </c>
      <c r="F48" s="272">
        <f>'работа 3 добр'!F53</f>
        <v>13500</v>
      </c>
      <c r="G48" s="86">
        <f>E48*F48</f>
        <v>3550.5</v>
      </c>
      <c r="H48" s="7"/>
      <c r="I48" s="7"/>
    </row>
    <row r="49" spans="1:12" ht="15.75" x14ac:dyDescent="0.25">
      <c r="A49" s="643" t="str">
        <f>'работа 3 добр'!A54</f>
        <v>Проезд</v>
      </c>
      <c r="B49" s="644"/>
      <c r="C49" s="262"/>
      <c r="D49" s="259" t="str">
        <f>'работа 3 добр'!D54</f>
        <v xml:space="preserve">Ед. </v>
      </c>
      <c r="E49" s="272">
        <f>D44</f>
        <v>0.26300000000000001</v>
      </c>
      <c r="F49" s="272">
        <f>'работа 3 добр'!F54</f>
        <v>60000</v>
      </c>
      <c r="G49" s="86">
        <f t="shared" ref="G49:G51" si="1">E49*F49</f>
        <v>15780</v>
      </c>
      <c r="H49" s="7"/>
      <c r="I49" s="7"/>
      <c r="L49" s="207"/>
    </row>
    <row r="50" spans="1:12" ht="15.75" x14ac:dyDescent="0.25">
      <c r="A50" s="643" t="str">
        <f>'работа 3 добр'!A55</f>
        <v>Проживание (гостиница)</v>
      </c>
      <c r="B50" s="644"/>
      <c r="C50" s="262"/>
      <c r="D50" s="259" t="str">
        <f>'работа 3 добр'!D55</f>
        <v>сутки</v>
      </c>
      <c r="E50" s="272">
        <f>D44</f>
        <v>0.26300000000000001</v>
      </c>
      <c r="F50" s="272">
        <f>'работа 3 добр'!F55</f>
        <v>7499.98</v>
      </c>
      <c r="G50" s="86">
        <f t="shared" si="1"/>
        <v>1972.4947399999999</v>
      </c>
      <c r="H50" s="7"/>
      <c r="I50" s="7"/>
      <c r="L50" s="207"/>
    </row>
    <row r="51" spans="1:12" ht="15.75" x14ac:dyDescent="0.25">
      <c r="A51" s="261" t="str">
        <f>'работа 3 добр'!A56</f>
        <v>Проживание (квартирные)</v>
      </c>
      <c r="B51" s="262"/>
      <c r="C51" s="262"/>
      <c r="D51" s="259" t="str">
        <f>'работа 3 добр'!D56</f>
        <v>сутки</v>
      </c>
      <c r="E51" s="272">
        <f>D44</f>
        <v>0.26300000000000001</v>
      </c>
      <c r="F51" s="272">
        <f>'работа 3 добр'!F56</f>
        <v>3375</v>
      </c>
      <c r="G51" s="86">
        <f t="shared" si="1"/>
        <v>887.625</v>
      </c>
      <c r="H51" s="7"/>
      <c r="I51" s="7"/>
      <c r="L51" s="207"/>
    </row>
    <row r="52" spans="1:12" ht="18.75" x14ac:dyDescent="0.25">
      <c r="A52" s="664" t="s">
        <v>64</v>
      </c>
      <c r="B52" s="665"/>
      <c r="C52" s="263"/>
      <c r="D52" s="81"/>
      <c r="E52" s="81"/>
      <c r="F52" s="81"/>
      <c r="G52" s="298">
        <f>SUM(G48:G51)</f>
        <v>22190.619739999998</v>
      </c>
      <c r="H52" s="7"/>
      <c r="I52" s="7"/>
      <c r="L52" s="204"/>
    </row>
    <row r="53" spans="1:12" ht="15.75" x14ac:dyDescent="0.25">
      <c r="A53" s="629" t="s">
        <v>146</v>
      </c>
      <c r="B53" s="629"/>
      <c r="C53" s="629"/>
      <c r="D53" s="629"/>
      <c r="E53" s="629"/>
      <c r="F53" s="629"/>
      <c r="G53" s="183"/>
      <c r="H53" s="7"/>
      <c r="I53" s="7"/>
    </row>
    <row r="54" spans="1:12" ht="15.75" x14ac:dyDescent="0.25">
      <c r="A54" s="7"/>
      <c r="B54" s="7"/>
      <c r="C54" s="7"/>
      <c r="D54" s="174"/>
      <c r="E54" s="7"/>
      <c r="F54" s="175">
        <v>1</v>
      </c>
      <c r="G54" s="183"/>
      <c r="H54" s="7"/>
      <c r="I54" s="7"/>
    </row>
    <row r="55" spans="1:12" ht="15.75" x14ac:dyDescent="0.25">
      <c r="A55" s="621" t="s">
        <v>139</v>
      </c>
      <c r="B55" s="621"/>
      <c r="C55" s="259"/>
      <c r="D55" s="621" t="s">
        <v>11</v>
      </c>
      <c r="E55" s="622" t="s">
        <v>53</v>
      </c>
      <c r="F55" s="622" t="s">
        <v>15</v>
      </c>
      <c r="G55" s="673" t="s">
        <v>6</v>
      </c>
      <c r="H55" s="7"/>
      <c r="I55" s="7"/>
    </row>
    <row r="56" spans="1:12" ht="13.9" customHeight="1" x14ac:dyDescent="0.25">
      <c r="A56" s="621"/>
      <c r="B56" s="621"/>
      <c r="C56" s="259"/>
      <c r="D56" s="621"/>
      <c r="E56" s="623"/>
      <c r="F56" s="623"/>
      <c r="G56" s="674"/>
      <c r="H56" s="7"/>
      <c r="I56" s="7"/>
    </row>
    <row r="57" spans="1:12" ht="15.75" hidden="1" x14ac:dyDescent="0.25">
      <c r="A57" s="618">
        <v>1</v>
      </c>
      <c r="B57" s="620"/>
      <c r="C57" s="258"/>
      <c r="D57" s="259">
        <v>2</v>
      </c>
      <c r="E57" s="259">
        <v>3</v>
      </c>
      <c r="F57" s="259">
        <v>4</v>
      </c>
      <c r="G57" s="86" t="s">
        <v>75</v>
      </c>
      <c r="H57" s="7"/>
      <c r="I57" s="7"/>
    </row>
    <row r="58" spans="1:12" ht="24.75" customHeight="1" x14ac:dyDescent="0.25">
      <c r="A58" s="332" t="s">
        <v>271</v>
      </c>
      <c r="B58" s="333"/>
      <c r="C58" s="333"/>
      <c r="D58" s="334"/>
      <c r="E58" s="334"/>
      <c r="F58" s="334"/>
      <c r="G58" s="86"/>
      <c r="H58" s="7"/>
      <c r="I58" s="7"/>
    </row>
    <row r="59" spans="1:12" ht="15.75" x14ac:dyDescent="0.25">
      <c r="A59" s="305" t="s">
        <v>272</v>
      </c>
      <c r="B59" s="306"/>
      <c r="C59" s="306"/>
      <c r="D59" s="209" t="s">
        <v>93</v>
      </c>
      <c r="E59" s="106">
        <v>3</v>
      </c>
      <c r="F59" s="109">
        <v>6000</v>
      </c>
      <c r="G59" s="86">
        <f>E59*F59</f>
        <v>18000</v>
      </c>
      <c r="H59" s="7"/>
      <c r="I59" s="7"/>
    </row>
    <row r="60" spans="1:12" ht="15.75" x14ac:dyDescent="0.25">
      <c r="A60" s="237" t="s">
        <v>232</v>
      </c>
      <c r="B60" s="269"/>
      <c r="C60" s="269"/>
      <c r="D60" s="250" t="s">
        <v>93</v>
      </c>
      <c r="E60" s="106">
        <v>3</v>
      </c>
      <c r="F60" s="109">
        <v>2250</v>
      </c>
      <c r="G60" s="86">
        <f t="shared" ref="G60:G108" si="2">E60*F60</f>
        <v>6750</v>
      </c>
      <c r="H60" s="7"/>
      <c r="I60" s="7"/>
    </row>
    <row r="61" spans="1:12" ht="15.75" x14ac:dyDescent="0.25">
      <c r="A61" s="305" t="s">
        <v>273</v>
      </c>
      <c r="B61" s="306"/>
      <c r="C61" s="306"/>
      <c r="D61" s="209" t="s">
        <v>93</v>
      </c>
      <c r="E61" s="106">
        <v>3</v>
      </c>
      <c r="F61" s="109">
        <v>1350</v>
      </c>
      <c r="G61" s="86">
        <f t="shared" si="2"/>
        <v>4050</v>
      </c>
      <c r="H61" s="7"/>
      <c r="I61" s="7"/>
    </row>
    <row r="62" spans="1:12" ht="15.75" x14ac:dyDescent="0.25">
      <c r="A62" s="332" t="s">
        <v>274</v>
      </c>
      <c r="B62" s="333"/>
      <c r="C62" s="333"/>
      <c r="D62" s="250"/>
      <c r="E62" s="334"/>
      <c r="F62" s="334"/>
      <c r="G62" s="86"/>
      <c r="H62" s="7"/>
      <c r="I62" s="7"/>
    </row>
    <row r="63" spans="1:12" ht="15.75" x14ac:dyDescent="0.25">
      <c r="A63" s="305" t="s">
        <v>272</v>
      </c>
      <c r="B63" s="306"/>
      <c r="C63" s="306"/>
      <c r="D63" s="209" t="s">
        <v>93</v>
      </c>
      <c r="E63" s="106">
        <v>2</v>
      </c>
      <c r="F63" s="109">
        <v>6000</v>
      </c>
      <c r="G63" s="86">
        <f t="shared" si="2"/>
        <v>12000</v>
      </c>
      <c r="H63" s="7"/>
      <c r="I63" s="7"/>
    </row>
    <row r="64" spans="1:12" ht="15.75" x14ac:dyDescent="0.25">
      <c r="A64" s="237" t="s">
        <v>232</v>
      </c>
      <c r="B64" s="269"/>
      <c r="C64" s="269"/>
      <c r="D64" s="250" t="s">
        <v>93</v>
      </c>
      <c r="E64" s="106">
        <v>3</v>
      </c>
      <c r="F64" s="109">
        <v>2250</v>
      </c>
      <c r="G64" s="86">
        <f t="shared" si="2"/>
        <v>6750</v>
      </c>
      <c r="H64" s="7"/>
      <c r="I64" s="7"/>
    </row>
    <row r="65" spans="1:9" ht="15.75" x14ac:dyDescent="0.25">
      <c r="A65" s="305" t="s">
        <v>275</v>
      </c>
      <c r="B65" s="306"/>
      <c r="C65" s="306"/>
      <c r="D65" s="209" t="s">
        <v>93</v>
      </c>
      <c r="E65" s="106">
        <v>3</v>
      </c>
      <c r="F65" s="109">
        <v>1350</v>
      </c>
      <c r="G65" s="86">
        <f t="shared" si="2"/>
        <v>4050</v>
      </c>
      <c r="H65" s="7"/>
      <c r="I65" s="7"/>
    </row>
    <row r="66" spans="1:9" ht="15.75" x14ac:dyDescent="0.25">
      <c r="A66" s="332" t="s">
        <v>276</v>
      </c>
      <c r="B66" s="333"/>
      <c r="C66" s="333"/>
      <c r="D66" s="250"/>
      <c r="E66" s="334"/>
      <c r="F66" s="334"/>
      <c r="G66" s="86"/>
      <c r="H66" s="7"/>
      <c r="I66" s="7"/>
    </row>
    <row r="67" spans="1:9" ht="15.75" x14ac:dyDescent="0.25">
      <c r="A67" s="305" t="s">
        <v>272</v>
      </c>
      <c r="B67" s="306"/>
      <c r="C67" s="306"/>
      <c r="D67" s="209" t="s">
        <v>93</v>
      </c>
      <c r="E67" s="106">
        <v>3</v>
      </c>
      <c r="F67" s="109">
        <v>15000</v>
      </c>
      <c r="G67" s="86">
        <f t="shared" si="2"/>
        <v>45000</v>
      </c>
      <c r="H67" s="7"/>
      <c r="I67" s="7"/>
    </row>
    <row r="68" spans="1:9" ht="15.75" x14ac:dyDescent="0.25">
      <c r="A68" s="237" t="s">
        <v>277</v>
      </c>
      <c r="B68" s="269"/>
      <c r="C68" s="269"/>
      <c r="D68" s="250" t="s">
        <v>93</v>
      </c>
      <c r="E68" s="106">
        <v>3</v>
      </c>
      <c r="F68" s="109">
        <v>4500</v>
      </c>
      <c r="G68" s="86">
        <f t="shared" si="2"/>
        <v>13500</v>
      </c>
      <c r="H68" s="7"/>
      <c r="I68" s="7"/>
    </row>
    <row r="69" spans="1:9" ht="15.75" x14ac:dyDescent="0.25">
      <c r="A69" s="305" t="s">
        <v>273</v>
      </c>
      <c r="B69" s="306"/>
      <c r="C69" s="306"/>
      <c r="D69" s="209" t="s">
        <v>93</v>
      </c>
      <c r="E69" s="106">
        <v>3</v>
      </c>
      <c r="F69" s="109">
        <v>3150</v>
      </c>
      <c r="G69" s="86">
        <f t="shared" si="2"/>
        <v>9450</v>
      </c>
      <c r="H69" s="7"/>
      <c r="I69" s="7"/>
    </row>
    <row r="70" spans="1:9" ht="15.75" x14ac:dyDescent="0.25">
      <c r="A70" s="100" t="s">
        <v>278</v>
      </c>
      <c r="B70" s="101"/>
      <c r="C70" s="101"/>
      <c r="D70" s="250" t="s">
        <v>93</v>
      </c>
      <c r="E70" s="313">
        <v>4</v>
      </c>
      <c r="F70" s="109">
        <v>6000</v>
      </c>
      <c r="G70" s="86">
        <f t="shared" si="2"/>
        <v>24000</v>
      </c>
      <c r="H70" s="7"/>
      <c r="I70" s="7"/>
    </row>
    <row r="71" spans="1:9" ht="24.75" customHeight="1" x14ac:dyDescent="0.25">
      <c r="A71" s="332" t="s">
        <v>279</v>
      </c>
      <c r="B71" s="333"/>
      <c r="C71" s="333"/>
      <c r="D71" s="209"/>
      <c r="G71" s="86"/>
      <c r="H71" s="7"/>
      <c r="I71" s="7"/>
    </row>
    <row r="72" spans="1:9" ht="15.75" x14ac:dyDescent="0.25">
      <c r="A72" s="305" t="s">
        <v>272</v>
      </c>
      <c r="B72" s="306"/>
      <c r="C72" s="306"/>
      <c r="D72" s="250" t="s">
        <v>93</v>
      </c>
      <c r="E72" s="106">
        <v>3</v>
      </c>
      <c r="F72" s="109">
        <v>6000</v>
      </c>
      <c r="G72" s="86">
        <f t="shared" si="2"/>
        <v>18000</v>
      </c>
      <c r="H72" s="7"/>
      <c r="I72" s="7"/>
    </row>
    <row r="73" spans="1:9" ht="15.75" x14ac:dyDescent="0.25">
      <c r="A73" s="237" t="s">
        <v>232</v>
      </c>
      <c r="B73" s="269"/>
      <c r="C73" s="269"/>
      <c r="D73" s="209" t="s">
        <v>93</v>
      </c>
      <c r="E73" s="106">
        <v>3</v>
      </c>
      <c r="F73" s="109">
        <v>2250</v>
      </c>
      <c r="G73" s="86">
        <f t="shared" si="2"/>
        <v>6750</v>
      </c>
      <c r="H73" s="7"/>
      <c r="I73" s="7"/>
    </row>
    <row r="74" spans="1:9" ht="15.75" x14ac:dyDescent="0.25">
      <c r="A74" s="305" t="s">
        <v>273</v>
      </c>
      <c r="B74" s="306"/>
      <c r="C74" s="306"/>
      <c r="D74" s="250" t="s">
        <v>93</v>
      </c>
      <c r="E74" s="106">
        <v>3</v>
      </c>
      <c r="F74" s="109">
        <v>1350</v>
      </c>
      <c r="G74" s="86">
        <f t="shared" si="2"/>
        <v>4050</v>
      </c>
      <c r="H74" s="7"/>
      <c r="I74" s="7"/>
    </row>
    <row r="75" spans="1:9" ht="15.75" x14ac:dyDescent="0.25">
      <c r="A75" s="332" t="s">
        <v>280</v>
      </c>
      <c r="B75" s="333"/>
      <c r="C75" s="333"/>
      <c r="D75" s="209"/>
      <c r="E75" s="334"/>
      <c r="F75" s="334"/>
      <c r="G75" s="86"/>
      <c r="H75" s="7"/>
      <c r="I75" s="7"/>
    </row>
    <row r="76" spans="1:9" ht="15.75" x14ac:dyDescent="0.25">
      <c r="A76" s="305" t="s">
        <v>272</v>
      </c>
      <c r="B76" s="306"/>
      <c r="C76" s="306"/>
      <c r="D76" s="250" t="s">
        <v>93</v>
      </c>
      <c r="E76" s="313">
        <v>10</v>
      </c>
      <c r="F76" s="109">
        <v>6000</v>
      </c>
      <c r="G76" s="86">
        <f t="shared" si="2"/>
        <v>60000</v>
      </c>
      <c r="H76" s="7"/>
      <c r="I76" s="7"/>
    </row>
    <row r="77" spans="1:9" ht="15.75" x14ac:dyDescent="0.25">
      <c r="A77" s="237" t="s">
        <v>281</v>
      </c>
      <c r="B77" s="269"/>
      <c r="C77" s="269"/>
      <c r="D77" s="209" t="s">
        <v>93</v>
      </c>
      <c r="E77" s="313">
        <v>10</v>
      </c>
      <c r="F77" s="109">
        <v>3000</v>
      </c>
      <c r="G77" s="86">
        <f t="shared" si="2"/>
        <v>30000</v>
      </c>
      <c r="H77" s="7"/>
      <c r="I77" s="7"/>
    </row>
    <row r="78" spans="1:9" ht="15.75" x14ac:dyDescent="0.25">
      <c r="A78" s="305" t="s">
        <v>282</v>
      </c>
      <c r="B78" s="306"/>
      <c r="C78" s="306"/>
      <c r="D78" s="250" t="s">
        <v>93</v>
      </c>
      <c r="E78" s="313">
        <v>10</v>
      </c>
      <c r="F78" s="109">
        <v>1000</v>
      </c>
      <c r="G78" s="86">
        <f t="shared" si="2"/>
        <v>10000</v>
      </c>
      <c r="H78" s="7"/>
      <c r="I78" s="7"/>
    </row>
    <row r="79" spans="1:9" ht="15.75" x14ac:dyDescent="0.25">
      <c r="A79" s="332" t="s">
        <v>283</v>
      </c>
      <c r="B79" s="333"/>
      <c r="C79" s="333"/>
      <c r="D79" s="209"/>
      <c r="E79" s="334"/>
      <c r="F79" s="334"/>
      <c r="G79" s="86"/>
      <c r="H79" s="7"/>
      <c r="I79" s="7"/>
    </row>
    <row r="80" spans="1:9" ht="15.75" x14ac:dyDescent="0.25">
      <c r="A80" s="305" t="s">
        <v>272</v>
      </c>
      <c r="B80" s="306"/>
      <c r="C80" s="306"/>
      <c r="D80" s="250" t="s">
        <v>93</v>
      </c>
      <c r="E80" s="313">
        <v>3</v>
      </c>
      <c r="F80" s="109">
        <v>6000</v>
      </c>
      <c r="G80" s="86">
        <f t="shared" si="2"/>
        <v>18000</v>
      </c>
      <c r="H80" s="7"/>
      <c r="I80" s="7"/>
    </row>
    <row r="81" spans="1:9" ht="15.75" x14ac:dyDescent="0.25">
      <c r="A81" s="237" t="s">
        <v>281</v>
      </c>
      <c r="B81" s="269"/>
      <c r="C81" s="269"/>
      <c r="D81" s="209" t="s">
        <v>93</v>
      </c>
      <c r="E81" s="313">
        <v>3</v>
      </c>
      <c r="F81" s="109">
        <v>3000</v>
      </c>
      <c r="G81" s="86">
        <f t="shared" si="2"/>
        <v>9000</v>
      </c>
      <c r="H81" s="7"/>
      <c r="I81" s="7"/>
    </row>
    <row r="82" spans="1:9" ht="15.75" x14ac:dyDescent="0.25">
      <c r="A82" s="305" t="s">
        <v>282</v>
      </c>
      <c r="B82" s="306"/>
      <c r="C82" s="306"/>
      <c r="D82" s="250" t="s">
        <v>93</v>
      </c>
      <c r="E82" s="107">
        <v>3</v>
      </c>
      <c r="F82" s="110">
        <v>1000</v>
      </c>
      <c r="G82" s="86">
        <f t="shared" si="2"/>
        <v>3000</v>
      </c>
      <c r="H82" s="7"/>
      <c r="I82" s="7"/>
    </row>
    <row r="83" spans="1:9" ht="15.75" customHeight="1" x14ac:dyDescent="0.25">
      <c r="A83" s="332" t="s">
        <v>284</v>
      </c>
      <c r="B83" s="333"/>
      <c r="C83" s="333"/>
      <c r="D83" s="209"/>
      <c r="E83" s="334"/>
      <c r="F83" s="334"/>
      <c r="G83" s="86"/>
      <c r="H83" s="7"/>
      <c r="I83" s="7"/>
    </row>
    <row r="84" spans="1:9" ht="15.75" x14ac:dyDescent="0.25">
      <c r="A84" s="305" t="s">
        <v>285</v>
      </c>
      <c r="B84" s="306"/>
      <c r="C84" s="306"/>
      <c r="D84" s="250" t="s">
        <v>93</v>
      </c>
      <c r="E84" s="107">
        <v>9</v>
      </c>
      <c r="F84" s="110">
        <v>6000</v>
      </c>
      <c r="G84" s="86">
        <f t="shared" si="2"/>
        <v>54000</v>
      </c>
      <c r="H84" s="7"/>
      <c r="I84" s="7"/>
    </row>
    <row r="85" spans="1:9" ht="15.75" x14ac:dyDescent="0.25">
      <c r="A85" s="237" t="s">
        <v>281</v>
      </c>
      <c r="B85" s="269"/>
      <c r="C85" s="269"/>
      <c r="D85" s="209" t="s">
        <v>93</v>
      </c>
      <c r="E85" s="107">
        <v>10</v>
      </c>
      <c r="F85" s="110">
        <v>3000</v>
      </c>
      <c r="G85" s="86">
        <f t="shared" si="2"/>
        <v>30000</v>
      </c>
      <c r="H85" s="7"/>
      <c r="I85" s="7"/>
    </row>
    <row r="86" spans="1:9" ht="15.75" x14ac:dyDescent="0.25">
      <c r="A86" s="305" t="s">
        <v>282</v>
      </c>
      <c r="B86" s="306"/>
      <c r="C86" s="306"/>
      <c r="D86" s="250" t="s">
        <v>93</v>
      </c>
      <c r="E86" s="107">
        <v>9</v>
      </c>
      <c r="F86" s="110">
        <v>1000</v>
      </c>
      <c r="G86" s="86">
        <f t="shared" si="2"/>
        <v>9000</v>
      </c>
      <c r="H86" s="7"/>
      <c r="I86" s="7"/>
    </row>
    <row r="87" spans="1:9" ht="15.75" customHeight="1" x14ac:dyDescent="0.25">
      <c r="A87" s="332" t="s">
        <v>286</v>
      </c>
      <c r="B87" s="333"/>
      <c r="C87" s="333"/>
      <c r="D87" s="209"/>
      <c r="E87" s="334"/>
      <c r="F87" s="334"/>
      <c r="G87" s="86"/>
      <c r="H87" s="7"/>
      <c r="I87" s="7"/>
    </row>
    <row r="88" spans="1:9" ht="15.75" x14ac:dyDescent="0.25">
      <c r="A88" s="305" t="s">
        <v>285</v>
      </c>
      <c r="B88" s="306"/>
      <c r="C88" s="306"/>
      <c r="D88" s="250" t="s">
        <v>93</v>
      </c>
      <c r="E88" s="313">
        <v>3</v>
      </c>
      <c r="F88" s="108">
        <v>6000</v>
      </c>
      <c r="G88" s="86">
        <f t="shared" si="2"/>
        <v>18000</v>
      </c>
      <c r="H88" s="7"/>
      <c r="I88" s="7"/>
    </row>
    <row r="89" spans="1:9" ht="15.75" x14ac:dyDescent="0.25">
      <c r="A89" s="237" t="s">
        <v>232</v>
      </c>
      <c r="B89" s="269"/>
      <c r="C89" s="269"/>
      <c r="D89" s="209" t="s">
        <v>93</v>
      </c>
      <c r="E89" s="313">
        <v>3</v>
      </c>
      <c r="F89" s="108">
        <v>3000</v>
      </c>
      <c r="G89" s="86">
        <f t="shared" si="2"/>
        <v>9000</v>
      </c>
      <c r="H89" s="7"/>
      <c r="I89" s="7"/>
    </row>
    <row r="90" spans="1:9" ht="15.75" x14ac:dyDescent="0.25">
      <c r="A90" s="305" t="s">
        <v>273</v>
      </c>
      <c r="B90" s="306"/>
      <c r="C90" s="306"/>
      <c r="D90" s="250" t="s">
        <v>93</v>
      </c>
      <c r="E90" s="107">
        <v>3</v>
      </c>
      <c r="F90" s="110">
        <v>1000</v>
      </c>
      <c r="G90" s="86">
        <f t="shared" si="2"/>
        <v>3000</v>
      </c>
      <c r="H90" s="7"/>
      <c r="I90" s="7"/>
    </row>
    <row r="91" spans="1:9" ht="15.75" x14ac:dyDescent="0.25">
      <c r="A91" s="332" t="s">
        <v>287</v>
      </c>
      <c r="B91" s="333"/>
      <c r="C91" s="333"/>
      <c r="D91" s="209"/>
      <c r="E91" s="334"/>
      <c r="F91" s="334"/>
      <c r="G91" s="86"/>
      <c r="H91" s="7"/>
      <c r="I91" s="7"/>
    </row>
    <row r="92" spans="1:9" ht="15.75" x14ac:dyDescent="0.25">
      <c r="A92" s="305" t="s">
        <v>272</v>
      </c>
      <c r="B92" s="306"/>
      <c r="C92" s="306"/>
      <c r="D92" s="250" t="s">
        <v>93</v>
      </c>
      <c r="E92" s="106">
        <v>3</v>
      </c>
      <c r="F92" s="109">
        <v>15000</v>
      </c>
      <c r="G92" s="86">
        <f t="shared" si="2"/>
        <v>45000</v>
      </c>
      <c r="H92" s="7"/>
      <c r="I92" s="7"/>
    </row>
    <row r="93" spans="1:9" ht="15.75" x14ac:dyDescent="0.25">
      <c r="A93" s="237" t="s">
        <v>277</v>
      </c>
      <c r="B93" s="269"/>
      <c r="C93" s="269"/>
      <c r="D93" s="209" t="s">
        <v>93</v>
      </c>
      <c r="E93" s="106">
        <v>3</v>
      </c>
      <c r="F93" s="109">
        <v>4500</v>
      </c>
      <c r="G93" s="86">
        <f t="shared" si="2"/>
        <v>13500</v>
      </c>
      <c r="H93" s="7"/>
      <c r="I93" s="7"/>
    </row>
    <row r="94" spans="1:9" ht="15.75" x14ac:dyDescent="0.25">
      <c r="A94" s="305" t="s">
        <v>273</v>
      </c>
      <c r="B94" s="306"/>
      <c r="C94" s="306"/>
      <c r="D94" s="250" t="s">
        <v>93</v>
      </c>
      <c r="E94" s="106">
        <v>3</v>
      </c>
      <c r="F94" s="109">
        <v>3150</v>
      </c>
      <c r="G94" s="86">
        <f t="shared" si="2"/>
        <v>9450</v>
      </c>
      <c r="H94" s="7"/>
      <c r="I94" s="7"/>
    </row>
    <row r="95" spans="1:9" ht="15.75" x14ac:dyDescent="0.25">
      <c r="A95" s="100" t="s">
        <v>278</v>
      </c>
      <c r="B95" s="101"/>
      <c r="C95" s="101"/>
      <c r="D95" s="209" t="s">
        <v>93</v>
      </c>
      <c r="E95" s="313">
        <v>4</v>
      </c>
      <c r="F95" s="109">
        <v>6000</v>
      </c>
      <c r="G95" s="86">
        <f t="shared" si="2"/>
        <v>24000</v>
      </c>
      <c r="H95" s="7"/>
      <c r="I95" s="7"/>
    </row>
    <row r="96" spans="1:9" ht="15.75" x14ac:dyDescent="0.25">
      <c r="A96" s="332" t="s">
        <v>288</v>
      </c>
      <c r="B96" s="333"/>
      <c r="C96" s="333"/>
      <c r="D96" s="250"/>
      <c r="E96" s="334"/>
      <c r="F96" s="334"/>
      <c r="G96" s="86"/>
      <c r="H96" s="7"/>
      <c r="I96" s="7"/>
    </row>
    <row r="97" spans="1:9" ht="15.75" x14ac:dyDescent="0.25">
      <c r="A97" s="305" t="s">
        <v>272</v>
      </c>
      <c r="B97" s="306"/>
      <c r="C97" s="306"/>
      <c r="D97" s="209" t="s">
        <v>93</v>
      </c>
      <c r="E97" s="106">
        <v>3</v>
      </c>
      <c r="F97" s="109">
        <v>6000</v>
      </c>
      <c r="G97" s="86">
        <f t="shared" si="2"/>
        <v>18000</v>
      </c>
      <c r="H97" s="7"/>
      <c r="I97" s="7"/>
    </row>
    <row r="98" spans="1:9" ht="15.75" x14ac:dyDescent="0.25">
      <c r="A98" s="237" t="s">
        <v>232</v>
      </c>
      <c r="B98" s="269"/>
      <c r="C98" s="269"/>
      <c r="D98" s="250" t="s">
        <v>93</v>
      </c>
      <c r="E98" s="106">
        <v>6</v>
      </c>
      <c r="F98" s="109">
        <v>2250</v>
      </c>
      <c r="G98" s="86">
        <f t="shared" si="2"/>
        <v>13500</v>
      </c>
      <c r="H98" s="7"/>
      <c r="I98" s="7"/>
    </row>
    <row r="99" spans="1:9" ht="15.75" x14ac:dyDescent="0.25">
      <c r="A99" s="305" t="s">
        <v>273</v>
      </c>
      <c r="B99" s="306"/>
      <c r="C99" s="306"/>
      <c r="D99" s="209" t="s">
        <v>93</v>
      </c>
      <c r="E99" s="106">
        <v>6</v>
      </c>
      <c r="F99" s="109">
        <v>1350</v>
      </c>
      <c r="G99" s="86">
        <f t="shared" si="2"/>
        <v>8100</v>
      </c>
      <c r="H99" s="7"/>
      <c r="I99" s="7"/>
    </row>
    <row r="100" spans="1:9" ht="15.75" x14ac:dyDescent="0.25">
      <c r="A100" s="335" t="s">
        <v>289</v>
      </c>
      <c r="B100" s="331"/>
      <c r="C100" s="331"/>
      <c r="D100" s="250"/>
      <c r="E100" s="210"/>
      <c r="F100" s="210"/>
      <c r="G100" s="86"/>
      <c r="H100" s="7"/>
      <c r="I100" s="7"/>
    </row>
    <row r="101" spans="1:9" ht="15.75" x14ac:dyDescent="0.25">
      <c r="A101" s="303" t="s">
        <v>290</v>
      </c>
      <c r="B101" s="304"/>
      <c r="C101" s="302"/>
      <c r="D101" s="209" t="s">
        <v>93</v>
      </c>
      <c r="E101" s="106">
        <v>90</v>
      </c>
      <c r="F101" s="109">
        <v>10</v>
      </c>
      <c r="G101" s="86">
        <f t="shared" si="2"/>
        <v>900</v>
      </c>
      <c r="H101" s="7"/>
      <c r="I101" s="7"/>
    </row>
    <row r="102" spans="1:9" ht="15.75" x14ac:dyDescent="0.25">
      <c r="A102" s="303" t="s">
        <v>291</v>
      </c>
      <c r="B102" s="304"/>
      <c r="C102" s="302"/>
      <c r="D102" s="250" t="s">
        <v>93</v>
      </c>
      <c r="E102" s="106">
        <v>40</v>
      </c>
      <c r="F102" s="109">
        <v>150</v>
      </c>
      <c r="G102" s="86">
        <f t="shared" si="2"/>
        <v>6000</v>
      </c>
      <c r="H102" s="7"/>
      <c r="I102" s="7"/>
    </row>
    <row r="103" spans="1:9" ht="15.75" x14ac:dyDescent="0.25">
      <c r="A103" s="312" t="s">
        <v>238</v>
      </c>
      <c r="B103" s="306"/>
      <c r="C103" s="306"/>
      <c r="D103" s="209" t="s">
        <v>93</v>
      </c>
      <c r="E103" s="106">
        <v>40</v>
      </c>
      <c r="F103" s="109">
        <v>200</v>
      </c>
      <c r="G103" s="86">
        <f t="shared" si="2"/>
        <v>8000</v>
      </c>
      <c r="H103" s="7"/>
      <c r="I103" s="7"/>
    </row>
    <row r="104" spans="1:9" ht="15.75" x14ac:dyDescent="0.25">
      <c r="A104" s="330" t="s">
        <v>292</v>
      </c>
      <c r="B104" s="331"/>
      <c r="C104" s="331"/>
      <c r="D104" s="250"/>
      <c r="E104" s="210"/>
      <c r="F104" s="210"/>
      <c r="G104" s="86"/>
      <c r="H104" s="7"/>
      <c r="I104" s="7"/>
    </row>
    <row r="105" spans="1:9" ht="15.75" x14ac:dyDescent="0.25">
      <c r="A105" s="305" t="s">
        <v>267</v>
      </c>
      <c r="B105" s="306"/>
      <c r="C105" s="306"/>
      <c r="D105" s="209" t="s">
        <v>93</v>
      </c>
      <c r="E105" s="106">
        <v>40</v>
      </c>
      <c r="F105" s="109">
        <v>402.5</v>
      </c>
      <c r="G105" s="86">
        <f t="shared" si="2"/>
        <v>16100</v>
      </c>
      <c r="H105" s="7"/>
      <c r="I105" s="7"/>
    </row>
    <row r="106" spans="1:9" ht="22.5" customHeight="1" x14ac:dyDescent="0.25">
      <c r="A106" s="305" t="s">
        <v>293</v>
      </c>
      <c r="B106" s="306"/>
      <c r="C106" s="306"/>
      <c r="D106" s="250" t="s">
        <v>93</v>
      </c>
      <c r="E106" s="106">
        <v>30</v>
      </c>
      <c r="F106" s="109">
        <v>400</v>
      </c>
      <c r="G106" s="86">
        <f t="shared" si="2"/>
        <v>12000</v>
      </c>
      <c r="H106" s="7"/>
      <c r="I106" s="7"/>
    </row>
    <row r="107" spans="1:9" ht="15.75" customHeight="1" x14ac:dyDescent="0.25">
      <c r="A107" s="330" t="s">
        <v>294</v>
      </c>
      <c r="B107" s="331"/>
      <c r="C107" s="331"/>
      <c r="D107" s="209"/>
      <c r="E107" s="210"/>
      <c r="F107" s="210"/>
      <c r="G107" s="86"/>
      <c r="H107" s="7"/>
      <c r="I107" s="7"/>
    </row>
    <row r="108" spans="1:9" ht="15.75" customHeight="1" x14ac:dyDescent="0.25">
      <c r="A108" s="100" t="s">
        <v>295</v>
      </c>
      <c r="B108" s="101"/>
      <c r="C108" s="101"/>
      <c r="D108" s="250" t="s">
        <v>93</v>
      </c>
      <c r="E108" s="108">
        <v>89</v>
      </c>
      <c r="F108" s="108">
        <v>150</v>
      </c>
      <c r="G108" s="86">
        <f t="shared" si="2"/>
        <v>13350</v>
      </c>
      <c r="H108" s="7"/>
      <c r="I108" s="7"/>
    </row>
    <row r="109" spans="1:9" ht="14.45" customHeight="1" x14ac:dyDescent="0.25">
      <c r="A109" s="670" t="s">
        <v>89</v>
      </c>
      <c r="B109" s="672"/>
      <c r="C109" s="271"/>
      <c r="D109" s="81"/>
      <c r="E109" s="81"/>
      <c r="F109" s="179"/>
      <c r="G109" s="298">
        <f>SUM(G58:G108)</f>
        <v>613250</v>
      </c>
      <c r="H109" s="7"/>
      <c r="I109" s="7"/>
    </row>
    <row r="110" spans="1:9" ht="15.75" x14ac:dyDescent="0.25">
      <c r="A110" s="677" t="s">
        <v>49</v>
      </c>
      <c r="B110" s="677"/>
      <c r="C110" s="677"/>
      <c r="D110" s="677"/>
      <c r="E110" s="677"/>
      <c r="F110" s="677"/>
      <c r="G110" s="183"/>
      <c r="H110" s="7"/>
      <c r="I110" s="7"/>
    </row>
    <row r="111" spans="1:9" ht="15.75" x14ac:dyDescent="0.25">
      <c r="A111" s="11"/>
      <c r="B111" s="11"/>
      <c r="C111" s="11"/>
      <c r="D111" s="11"/>
      <c r="E111" s="11"/>
      <c r="F111" s="103">
        <f>D44</f>
        <v>0.26300000000000001</v>
      </c>
      <c r="G111" s="183"/>
      <c r="H111" s="7"/>
      <c r="I111" s="7"/>
    </row>
    <row r="112" spans="1:9" ht="15.75" x14ac:dyDescent="0.25">
      <c r="A112" s="652" t="s">
        <v>0</v>
      </c>
      <c r="B112" s="652"/>
      <c r="C112" s="264"/>
      <c r="D112" s="652" t="s">
        <v>1</v>
      </c>
      <c r="E112" s="648" t="s">
        <v>2</v>
      </c>
      <c r="F112" s="648" t="s">
        <v>43</v>
      </c>
      <c r="G112" s="669" t="s">
        <v>6</v>
      </c>
      <c r="H112" s="7"/>
      <c r="I112" s="7"/>
    </row>
    <row r="113" spans="1:9" ht="15.75" x14ac:dyDescent="0.25">
      <c r="A113" s="652"/>
      <c r="B113" s="652"/>
      <c r="C113" s="264"/>
      <c r="D113" s="652"/>
      <c r="E113" s="649"/>
      <c r="F113" s="649"/>
      <c r="G113" s="669"/>
      <c r="H113" s="7"/>
      <c r="I113" s="7"/>
    </row>
    <row r="114" spans="1:9" ht="15.75" x14ac:dyDescent="0.25">
      <c r="A114" s="652">
        <v>1</v>
      </c>
      <c r="B114" s="652"/>
      <c r="C114" s="264"/>
      <c r="D114" s="264">
        <v>2</v>
      </c>
      <c r="E114" s="264">
        <v>3</v>
      </c>
      <c r="F114" s="264" t="s">
        <v>41</v>
      </c>
      <c r="G114" s="272" t="s">
        <v>42</v>
      </c>
      <c r="H114" s="7"/>
      <c r="I114" s="7"/>
    </row>
    <row r="115" spans="1:9" ht="15.75" x14ac:dyDescent="0.25">
      <c r="A115" s="529" t="str">
        <f>'работа 3 добр'!A92:B92</f>
        <v>Заведующий МЦ</v>
      </c>
      <c r="B115" s="529"/>
      <c r="C115" s="113"/>
      <c r="D115" s="82">
        <f>'работа 3 добр'!D92</f>
        <v>70153.25</v>
      </c>
      <c r="E115" s="72">
        <f>1*F111</f>
        <v>0.26300000000000001</v>
      </c>
      <c r="F115" s="79">
        <f>D115*E115</f>
        <v>18450.304749999999</v>
      </c>
      <c r="G115" s="272">
        <f>F115*12*1.302+844.59</f>
        <v>289112.15141400002</v>
      </c>
      <c r="H115" s="7"/>
      <c r="I115" s="7"/>
    </row>
    <row r="116" spans="1:9" ht="15.75" x14ac:dyDescent="0.25">
      <c r="A116" s="476" t="s">
        <v>164</v>
      </c>
      <c r="B116" s="476"/>
      <c r="C116" s="112"/>
      <c r="D116" s="82">
        <f>'работа 2 пат'!D95</f>
        <v>25675</v>
      </c>
      <c r="E116" s="264">
        <f>1*F111</f>
        <v>0.26300000000000001</v>
      </c>
      <c r="F116" s="79">
        <f t="shared" ref="F116:F118" si="3">D116*E116</f>
        <v>6752.5250000000005</v>
      </c>
      <c r="G116" s="272">
        <f>F116*12*1.302</f>
        <v>105501.45060000001</v>
      </c>
      <c r="H116" s="7"/>
      <c r="I116" s="7"/>
    </row>
    <row r="117" spans="1:9" ht="15.75" x14ac:dyDescent="0.25">
      <c r="A117" s="527" t="s">
        <v>101</v>
      </c>
      <c r="B117" s="528"/>
      <c r="C117" s="112"/>
      <c r="D117" s="82">
        <f>'работа 2 пат'!D96</f>
        <v>25675</v>
      </c>
      <c r="E117" s="264">
        <f>1*F111/2</f>
        <v>0.13150000000000001</v>
      </c>
      <c r="F117" s="79">
        <f t="shared" si="3"/>
        <v>3376.2625000000003</v>
      </c>
      <c r="G117" s="272">
        <f>F117*12*1.302</f>
        <v>52750.725300000006</v>
      </c>
      <c r="H117" s="7"/>
      <c r="I117" s="7"/>
    </row>
    <row r="118" spans="1:9" ht="15.75" x14ac:dyDescent="0.25">
      <c r="A118" s="476" t="s">
        <v>165</v>
      </c>
      <c r="B118" s="476"/>
      <c r="C118" s="112"/>
      <c r="D118" s="82">
        <f>'работа 2 пат'!D97</f>
        <v>25675</v>
      </c>
      <c r="E118" s="264">
        <f>1*F111</f>
        <v>0.26300000000000001</v>
      </c>
      <c r="F118" s="79">
        <f t="shared" si="3"/>
        <v>6752.5250000000005</v>
      </c>
      <c r="G118" s="272">
        <f>F118*12*1.302</f>
        <v>105501.45060000001</v>
      </c>
      <c r="H118" s="7"/>
      <c r="I118" s="7"/>
    </row>
    <row r="119" spans="1:9" ht="18.75" x14ac:dyDescent="0.3">
      <c r="A119" s="652" t="s">
        <v>28</v>
      </c>
      <c r="B119" s="652"/>
      <c r="C119" s="652"/>
      <c r="D119" s="652"/>
      <c r="E119" s="652"/>
      <c r="F119" s="652"/>
      <c r="G119" s="297">
        <f>SUM(G115:G118)</f>
        <v>552865.77791400009</v>
      </c>
      <c r="H119" s="7"/>
      <c r="I119" s="7"/>
    </row>
    <row r="120" spans="1:9" ht="14.45" hidden="1" customHeight="1" x14ac:dyDescent="0.25">
      <c r="A120" s="499" t="s">
        <v>190</v>
      </c>
      <c r="B120" s="499"/>
      <c r="C120" s="499"/>
      <c r="D120" s="499"/>
      <c r="E120" s="499"/>
      <c r="F120" s="499"/>
      <c r="G120" s="499"/>
      <c r="H120" s="499"/>
    </row>
    <row r="121" spans="1:9" ht="14.45" hidden="1" customHeight="1" x14ac:dyDescent="0.25">
      <c r="A121" s="501" t="s">
        <v>67</v>
      </c>
      <c r="B121" s="504" t="s">
        <v>178</v>
      </c>
      <c r="C121" s="650"/>
      <c r="D121" s="515" t="s">
        <v>179</v>
      </c>
      <c r="E121" s="560"/>
      <c r="F121" s="560"/>
      <c r="G121" s="560"/>
      <c r="H121" s="516"/>
    </row>
    <row r="122" spans="1:9" ht="14.45" hidden="1" customHeight="1" x14ac:dyDescent="0.25">
      <c r="A122" s="502"/>
      <c r="B122" s="506"/>
      <c r="C122" s="507"/>
      <c r="D122" s="530" t="s">
        <v>180</v>
      </c>
      <c r="E122" s="501" t="s">
        <v>181</v>
      </c>
      <c r="F122" s="624" t="s">
        <v>182</v>
      </c>
      <c r="G122" s="501" t="s">
        <v>188</v>
      </c>
      <c r="H122" s="501" t="s">
        <v>6</v>
      </c>
    </row>
    <row r="123" spans="1:9" hidden="1" x14ac:dyDescent="0.25">
      <c r="A123" s="503"/>
      <c r="B123" s="508"/>
      <c r="C123" s="509"/>
      <c r="D123" s="666"/>
      <c r="E123" s="503"/>
      <c r="F123" s="514"/>
      <c r="G123" s="503"/>
      <c r="H123" s="503"/>
    </row>
    <row r="124" spans="1:9" hidden="1" x14ac:dyDescent="0.25">
      <c r="A124" s="250">
        <v>1</v>
      </c>
      <c r="B124" s="515">
        <v>2</v>
      </c>
      <c r="C124" s="516"/>
      <c r="D124" s="250">
        <v>3</v>
      </c>
      <c r="E124" s="250">
        <v>4</v>
      </c>
      <c r="F124" s="250">
        <v>5</v>
      </c>
      <c r="G124" s="250">
        <v>6</v>
      </c>
      <c r="H124" s="250">
        <v>7</v>
      </c>
    </row>
    <row r="125" spans="1:9" hidden="1" x14ac:dyDescent="0.25">
      <c r="A125" s="237" t="s">
        <v>183</v>
      </c>
      <c r="B125" s="250">
        <v>0.24</v>
      </c>
      <c r="C125" s="238">
        <v>1</v>
      </c>
      <c r="D125" s="165">
        <v>30497.8</v>
      </c>
      <c r="E125" s="124">
        <v>41441.4</v>
      </c>
      <c r="F125" s="165">
        <f>30497.8*0.24</f>
        <v>7319.4719999999998</v>
      </c>
      <c r="G125" s="202">
        <f>F125*30.2%</f>
        <v>2210.480544</v>
      </c>
      <c r="H125" s="202">
        <f>F125+G125</f>
        <v>9529.9525439999998</v>
      </c>
    </row>
    <row r="126" spans="1:9" hidden="1" x14ac:dyDescent="0.25">
      <c r="A126" s="237" t="s">
        <v>185</v>
      </c>
      <c r="B126" s="250">
        <v>0.24</v>
      </c>
      <c r="C126" s="238"/>
      <c r="D126" s="165">
        <v>8353.5499999999993</v>
      </c>
      <c r="E126" s="124">
        <v>11244.72</v>
      </c>
      <c r="F126" s="165">
        <f>8353.55*0.24</f>
        <v>2004.8519999999999</v>
      </c>
      <c r="G126" s="202">
        <f t="shared" ref="G126:G129" si="4">F126*30.2%</f>
        <v>605.46530399999995</v>
      </c>
      <c r="H126" s="202">
        <f t="shared" ref="H126:H129" si="5">F126+G126</f>
        <v>2610.3173039999997</v>
      </c>
    </row>
    <row r="127" spans="1:9" hidden="1" x14ac:dyDescent="0.25">
      <c r="A127" s="237" t="s">
        <v>186</v>
      </c>
      <c r="B127" s="250">
        <f>0.5*0.24</f>
        <v>0.12</v>
      </c>
      <c r="C127" s="238"/>
      <c r="D127" s="165">
        <v>3761.62</v>
      </c>
      <c r="E127" s="124">
        <v>4983</v>
      </c>
      <c r="F127" s="165">
        <f>3761.62*0.24</f>
        <v>902.78879999999992</v>
      </c>
      <c r="G127" s="202">
        <f t="shared" si="4"/>
        <v>272.64221759999998</v>
      </c>
      <c r="H127" s="202">
        <f t="shared" si="5"/>
        <v>1175.4310175999999</v>
      </c>
    </row>
    <row r="128" spans="1:9" hidden="1" x14ac:dyDescent="0.25">
      <c r="A128" s="237" t="s">
        <v>165</v>
      </c>
      <c r="B128" s="250">
        <f>1*0.24</f>
        <v>0.24</v>
      </c>
      <c r="C128" s="238"/>
      <c r="D128" s="165">
        <v>6266.1</v>
      </c>
      <c r="E128" s="124">
        <v>8398.2000000000007</v>
      </c>
      <c r="F128" s="165">
        <f>6266.1*0.24</f>
        <v>1503.864</v>
      </c>
      <c r="G128" s="202">
        <f t="shared" si="4"/>
        <v>454.16692799999998</v>
      </c>
      <c r="H128" s="202">
        <f t="shared" si="5"/>
        <v>1958.0309280000001</v>
      </c>
    </row>
    <row r="129" spans="1:9" hidden="1" x14ac:dyDescent="0.25">
      <c r="A129" s="237" t="s">
        <v>187</v>
      </c>
      <c r="B129" s="250">
        <f>3*0.24</f>
        <v>0.72</v>
      </c>
      <c r="C129" s="238"/>
      <c r="D129" s="165">
        <v>20749.32</v>
      </c>
      <c r="E129" s="124">
        <v>28148.04</v>
      </c>
      <c r="F129" s="165">
        <f>20749.32*0.24</f>
        <v>4979.8368</v>
      </c>
      <c r="G129" s="202">
        <f t="shared" si="4"/>
        <v>1503.9107136</v>
      </c>
      <c r="H129" s="202">
        <f t="shared" si="5"/>
        <v>6483.7475136000003</v>
      </c>
    </row>
    <row r="130" spans="1:9" ht="18.75" hidden="1" x14ac:dyDescent="0.25">
      <c r="A130" s="168"/>
      <c r="B130" s="251"/>
      <c r="C130" s="169"/>
      <c r="D130" s="141">
        <f>SUM(D125:D129)</f>
        <v>69628.39</v>
      </c>
      <c r="E130" s="141">
        <f>SUM(E125:E129)</f>
        <v>94215.360000000015</v>
      </c>
      <c r="F130" s="141">
        <f>SUM(F125:F129)</f>
        <v>16710.813600000001</v>
      </c>
      <c r="G130" s="141">
        <f>SUM(G125:G129)</f>
        <v>5046.6657071999998</v>
      </c>
      <c r="H130" s="292"/>
    </row>
    <row r="131" spans="1:9" ht="18.75" x14ac:dyDescent="0.25">
      <c r="A131" s="236"/>
      <c r="B131" s="166"/>
      <c r="C131" s="166"/>
      <c r="D131" s="234"/>
      <c r="E131" s="234"/>
      <c r="F131" s="234"/>
      <c r="G131" s="234"/>
      <c r="H131" s="273"/>
    </row>
    <row r="132" spans="1:9" ht="18.75" x14ac:dyDescent="0.25">
      <c r="A132" s="236"/>
      <c r="B132" s="166"/>
      <c r="C132" s="166"/>
      <c r="D132" s="234"/>
      <c r="E132" s="234"/>
      <c r="F132" s="234"/>
      <c r="G132" s="234"/>
      <c r="H132" s="273"/>
    </row>
    <row r="133" spans="1:9" ht="14.45" customHeight="1" x14ac:dyDescent="0.25">
      <c r="A133" s="499" t="s">
        <v>210</v>
      </c>
      <c r="B133" s="499"/>
      <c r="C133" s="499"/>
      <c r="D133" s="500"/>
      <c r="E133" s="500"/>
      <c r="F133" s="500"/>
      <c r="G133" s="500"/>
      <c r="H133" s="500"/>
    </row>
    <row r="134" spans="1:9" ht="14.45" customHeight="1" x14ac:dyDescent="0.25">
      <c r="A134" s="501" t="s">
        <v>67</v>
      </c>
      <c r="B134" s="504" t="s">
        <v>178</v>
      </c>
      <c r="C134" s="505"/>
      <c r="D134" s="510"/>
      <c r="E134" s="511"/>
      <c r="F134" s="512"/>
      <c r="G134" s="235"/>
      <c r="H134" s="235"/>
    </row>
    <row r="135" spans="1:9" ht="14.45" customHeight="1" x14ac:dyDescent="0.25">
      <c r="A135" s="502"/>
      <c r="B135" s="506"/>
      <c r="C135" s="507"/>
      <c r="D135" s="513" t="s">
        <v>182</v>
      </c>
      <c r="E135" s="502" t="s">
        <v>188</v>
      </c>
      <c r="F135" s="502" t="s">
        <v>6</v>
      </c>
      <c r="G135" s="45"/>
    </row>
    <row r="136" spans="1:9" x14ac:dyDescent="0.25">
      <c r="A136" s="503"/>
      <c r="B136" s="508"/>
      <c r="C136" s="509"/>
      <c r="D136" s="514"/>
      <c r="E136" s="503"/>
      <c r="F136" s="503"/>
      <c r="G136" s="45"/>
    </row>
    <row r="137" spans="1:9" x14ac:dyDescent="0.25">
      <c r="A137" s="250">
        <v>1</v>
      </c>
      <c r="B137" s="515">
        <v>2</v>
      </c>
      <c r="C137" s="516"/>
      <c r="D137" s="250">
        <v>5</v>
      </c>
      <c r="E137" s="250">
        <v>6</v>
      </c>
      <c r="F137" s="250">
        <v>7</v>
      </c>
      <c r="G137" s="45"/>
    </row>
    <row r="138" spans="1:9" x14ac:dyDescent="0.25">
      <c r="A138" s="237" t="s">
        <v>185</v>
      </c>
      <c r="B138" s="338">
        <f>E116</f>
        <v>0.26300000000000001</v>
      </c>
      <c r="C138" s="238"/>
      <c r="D138" s="165">
        <f>'работа 3 добр'!D116</f>
        <v>7439.37</v>
      </c>
      <c r="E138" s="202">
        <f t="shared" ref="E138:E140" si="6">D138*30.2%</f>
        <v>2246.6897399999998</v>
      </c>
      <c r="F138" s="202">
        <f>(D138+E138)*0.263</f>
        <v>2547.4337116200004</v>
      </c>
      <c r="G138" s="45"/>
    </row>
    <row r="139" spans="1:9" x14ac:dyDescent="0.25">
      <c r="A139" s="237" t="s">
        <v>186</v>
      </c>
      <c r="B139" s="338">
        <f>E117</f>
        <v>0.13150000000000001</v>
      </c>
      <c r="C139" s="238"/>
      <c r="D139" s="165">
        <f>'работа 3 добр'!D117</f>
        <v>9900.81</v>
      </c>
      <c r="E139" s="202">
        <f t="shared" si="6"/>
        <v>2990.0446199999997</v>
      </c>
      <c r="F139" s="202">
        <f t="shared" ref="F139:F140" si="7">(D139+E139)*0.263</f>
        <v>3390.2947650599995</v>
      </c>
      <c r="G139" s="45"/>
    </row>
    <row r="140" spans="1:9" x14ac:dyDescent="0.25">
      <c r="A140" s="237" t="s">
        <v>165</v>
      </c>
      <c r="B140" s="338">
        <f>E118</f>
        <v>0.26300000000000001</v>
      </c>
      <c r="C140" s="238"/>
      <c r="D140" s="165">
        <f>'работа 3 добр'!D118</f>
        <v>36423.26</v>
      </c>
      <c r="E140" s="202">
        <f t="shared" si="6"/>
        <v>10999.82452</v>
      </c>
      <c r="F140" s="202">
        <f t="shared" si="7"/>
        <v>12472.271228760002</v>
      </c>
      <c r="G140" s="45"/>
    </row>
    <row r="141" spans="1:9" x14ac:dyDescent="0.25">
      <c r="A141" s="168"/>
      <c r="B141" s="251"/>
      <c r="C141" s="169"/>
      <c r="D141" s="141">
        <f>SUM(D138:D140)</f>
        <v>53763.44</v>
      </c>
      <c r="E141" s="141">
        <f>SUM(E138:E140)</f>
        <v>16236.55888</v>
      </c>
      <c r="F141" s="141">
        <f>SUM(F138:F140)</f>
        <v>18409.999705440001</v>
      </c>
      <c r="G141" s="45"/>
    </row>
    <row r="142" spans="1:9" ht="15.75" x14ac:dyDescent="0.25">
      <c r="A142" s="4" t="s">
        <v>50</v>
      </c>
      <c r="B142" s="177"/>
      <c r="C142" s="177"/>
      <c r="D142" s="177"/>
      <c r="E142" s="177"/>
      <c r="F142" s="177"/>
      <c r="G142" s="183"/>
      <c r="H142" s="7"/>
      <c r="I142" s="7"/>
    </row>
    <row r="143" spans="1:9" ht="15.75" x14ac:dyDescent="0.25">
      <c r="A143" s="4" t="s">
        <v>94</v>
      </c>
      <c r="B143" s="177"/>
      <c r="C143" s="177"/>
      <c r="D143" s="177"/>
      <c r="E143" s="177"/>
      <c r="F143" s="177"/>
      <c r="G143" s="183"/>
      <c r="H143" s="7"/>
      <c r="I143" s="7"/>
    </row>
    <row r="144" spans="1:9" ht="15.75" x14ac:dyDescent="0.25">
      <c r="A144" s="540" t="s">
        <v>52</v>
      </c>
      <c r="B144" s="540"/>
      <c r="C144" s="540"/>
      <c r="D144" s="540"/>
      <c r="E144" s="540"/>
      <c r="F144" s="177"/>
      <c r="G144" s="183"/>
      <c r="H144" s="7"/>
      <c r="I144" s="7"/>
    </row>
    <row r="145" spans="1:9" ht="15.75" x14ac:dyDescent="0.25">
      <c r="A145" s="177"/>
      <c r="B145" s="177"/>
      <c r="C145" s="177"/>
      <c r="D145" s="177"/>
      <c r="E145" s="177"/>
      <c r="F145" s="182">
        <f>F111</f>
        <v>0.26300000000000001</v>
      </c>
      <c r="G145" s="183"/>
      <c r="H145" s="7"/>
      <c r="I145" s="7"/>
    </row>
    <row r="146" spans="1:9" ht="15.75" x14ac:dyDescent="0.25">
      <c r="A146" s="652" t="s">
        <v>13</v>
      </c>
      <c r="B146" s="652" t="s">
        <v>11</v>
      </c>
      <c r="C146" s="264"/>
      <c r="D146" s="652" t="s">
        <v>14</v>
      </c>
      <c r="E146" s="652" t="s">
        <v>105</v>
      </c>
      <c r="F146" s="652" t="s">
        <v>6</v>
      </c>
      <c r="G146" s="183"/>
      <c r="H146" s="7"/>
      <c r="I146" s="7"/>
    </row>
    <row r="147" spans="1:9" ht="3.6" customHeight="1" x14ac:dyDescent="0.25">
      <c r="A147" s="652"/>
      <c r="B147" s="652"/>
      <c r="C147" s="264"/>
      <c r="D147" s="652"/>
      <c r="E147" s="652"/>
      <c r="F147" s="652"/>
      <c r="G147" s="183"/>
      <c r="H147" s="7"/>
      <c r="I147" s="7"/>
    </row>
    <row r="148" spans="1:9" ht="15.75" x14ac:dyDescent="0.25">
      <c r="A148" s="264">
        <v>1</v>
      </c>
      <c r="B148" s="264">
        <v>2</v>
      </c>
      <c r="C148" s="264"/>
      <c r="D148" s="264">
        <v>3</v>
      </c>
      <c r="E148" s="264">
        <v>4</v>
      </c>
      <c r="F148" s="264" t="s">
        <v>197</v>
      </c>
      <c r="G148" s="183"/>
      <c r="H148" s="7"/>
      <c r="I148" s="7"/>
    </row>
    <row r="149" spans="1:9" ht="15.75" x14ac:dyDescent="0.25">
      <c r="A149" s="85" t="str">
        <f>'работа 3 добр'!A136</f>
        <v>Теплоэнергия</v>
      </c>
      <c r="B149" s="264" t="str">
        <f>'работа 3 добр'!B136</f>
        <v>Гкал</v>
      </c>
      <c r="C149" s="264"/>
      <c r="D149" s="79">
        <f>55*F145</f>
        <v>14.465</v>
      </c>
      <c r="E149" s="79">
        <f>'работа 3 добр'!E136</f>
        <v>2974.26</v>
      </c>
      <c r="F149" s="79">
        <f>D149*E149</f>
        <v>43022.670900000005</v>
      </c>
      <c r="G149" s="183"/>
      <c r="H149" s="7"/>
      <c r="I149" s="7"/>
    </row>
    <row r="150" spans="1:9" ht="15.75" x14ac:dyDescent="0.25">
      <c r="A150" s="85" t="str">
        <f>'работа 3 добр'!A137</f>
        <v>Водоснабжение 1 полугодие</v>
      </c>
      <c r="B150" s="264" t="str">
        <f>'работа 3 добр'!B137</f>
        <v>м3</v>
      </c>
      <c r="C150" s="264"/>
      <c r="D150" s="264">
        <f>106.3*F145</f>
        <v>27.956900000000001</v>
      </c>
      <c r="E150" s="79">
        <f>'работа 3 добр'!E137</f>
        <v>55.18</v>
      </c>
      <c r="F150" s="79">
        <f t="shared" ref="F150:F153" si="8">D150*E150</f>
        <v>1542.661742</v>
      </c>
      <c r="G150" s="183"/>
      <c r="H150" s="7"/>
      <c r="I150" s="7"/>
    </row>
    <row r="151" spans="1:9" ht="15.75" x14ac:dyDescent="0.25">
      <c r="A151" s="85" t="str">
        <f>'работа 3 добр'!A138</f>
        <v>Водоснабжение 2 полугодие</v>
      </c>
      <c r="B151" s="264" t="str">
        <f>'работа 3 добр'!B138</f>
        <v>м3</v>
      </c>
      <c r="C151" s="264"/>
      <c r="D151" s="264">
        <f>106.3*F145</f>
        <v>27.956900000000001</v>
      </c>
      <c r="E151" s="79">
        <f>'работа 3 добр'!E138</f>
        <v>56.66</v>
      </c>
      <c r="F151" s="79">
        <f t="shared" si="8"/>
        <v>1584.0379539999999</v>
      </c>
      <c r="G151" s="183"/>
      <c r="H151" s="7"/>
      <c r="I151" s="7"/>
    </row>
    <row r="152" spans="1:9" ht="15.75" x14ac:dyDescent="0.25">
      <c r="A152" s="85" t="str">
        <f>'работа 3 добр'!A139</f>
        <v>Электроэнергия</v>
      </c>
      <c r="B152" s="264" t="str">
        <f>'работа 3 добр'!B139</f>
        <v>КВТ/ч</v>
      </c>
      <c r="C152" s="264"/>
      <c r="D152" s="79">
        <f>10.36*F145</f>
        <v>2.7246799999999998</v>
      </c>
      <c r="E152" s="79">
        <f>'работа 3 добр'!E139</f>
        <v>7415.06</v>
      </c>
      <c r="F152" s="79">
        <f t="shared" si="8"/>
        <v>20203.665680800001</v>
      </c>
      <c r="G152" s="183"/>
      <c r="H152" s="7"/>
      <c r="I152" s="7"/>
    </row>
    <row r="153" spans="1:9" ht="15.75" x14ac:dyDescent="0.25">
      <c r="A153" s="311" t="str">
        <f>'работа 3 добр'!A140</f>
        <v>Водоотведение (септик)  откачка асс. машиной 6 раз в год</v>
      </c>
      <c r="B153" s="264" t="str">
        <f>'работа 3 добр'!B140</f>
        <v>дог</v>
      </c>
      <c r="C153" s="250"/>
      <c r="D153" s="185">
        <f>12*F145</f>
        <v>3.1560000000000001</v>
      </c>
      <c r="E153" s="79">
        <f>'работа 3 добр'!E140</f>
        <v>6334.56</v>
      </c>
      <c r="F153" s="79">
        <f t="shared" si="8"/>
        <v>19991.871360000001</v>
      </c>
      <c r="G153" s="183"/>
      <c r="H153" s="7"/>
      <c r="I153" s="7"/>
    </row>
    <row r="154" spans="1:9" ht="15.75" x14ac:dyDescent="0.25">
      <c r="A154" s="311" t="str">
        <f>'работа 3 добр'!A141</f>
        <v>ТКО</v>
      </c>
      <c r="B154" s="361" t="str">
        <f>B151</f>
        <v>м3</v>
      </c>
      <c r="C154" s="354"/>
      <c r="D154" s="185">
        <f>3.636*D166</f>
        <v>0.95626800000000012</v>
      </c>
      <c r="E154" s="79">
        <v>2170.58</v>
      </c>
      <c r="F154" s="79">
        <f>D154*E154</f>
        <v>2075.6561954400004</v>
      </c>
      <c r="G154" s="183"/>
      <c r="H154" s="7"/>
      <c r="I154" s="7"/>
    </row>
    <row r="155" spans="1:9" ht="18.75" x14ac:dyDescent="0.25">
      <c r="A155" s="676"/>
      <c r="B155" s="676"/>
      <c r="C155" s="676"/>
      <c r="D155" s="676"/>
      <c r="E155" s="676"/>
      <c r="F155" s="299">
        <f>SUM(F149:F154)</f>
        <v>88420.563832240005</v>
      </c>
      <c r="G155" s="183"/>
      <c r="H155" s="7"/>
      <c r="I155" s="7"/>
    </row>
    <row r="156" spans="1:9" ht="18.75" x14ac:dyDescent="0.25">
      <c r="A156" s="387"/>
      <c r="B156" s="387"/>
      <c r="C156" s="387"/>
      <c r="D156" s="387"/>
      <c r="E156" s="387"/>
      <c r="F156" s="388"/>
      <c r="G156" s="389"/>
      <c r="H156" s="7"/>
      <c r="I156" s="7"/>
    </row>
    <row r="157" spans="1:9" s="7" customFormat="1" ht="25.5" x14ac:dyDescent="0.25">
      <c r="A157" s="351" t="s">
        <v>129</v>
      </c>
      <c r="B157" s="362" t="s">
        <v>130</v>
      </c>
      <c r="C157" s="385"/>
      <c r="D157" s="362" t="s">
        <v>134</v>
      </c>
      <c r="E157" s="362" t="s">
        <v>131</v>
      </c>
      <c r="F157" s="362" t="s">
        <v>132</v>
      </c>
      <c r="G157" s="386" t="s">
        <v>6</v>
      </c>
    </row>
    <row r="158" spans="1:9" s="7" customFormat="1" ht="15.75" x14ac:dyDescent="0.25">
      <c r="A158" s="237">
        <v>1</v>
      </c>
      <c r="B158" s="250">
        <v>2</v>
      </c>
      <c r="C158" s="269"/>
      <c r="D158" s="250">
        <v>3</v>
      </c>
      <c r="E158" s="250">
        <v>4</v>
      </c>
      <c r="F158" s="250">
        <v>5</v>
      </c>
      <c r="G158" s="179" t="s">
        <v>249</v>
      </c>
    </row>
    <row r="159" spans="1:9" s="7" customFormat="1" ht="15.75" x14ac:dyDescent="0.25">
      <c r="A159" s="250" t="s">
        <v>133</v>
      </c>
      <c r="B159" s="250">
        <f>'работа 3 добр'!B124</f>
        <v>3</v>
      </c>
      <c r="C159" s="250">
        <f>'работа 3 добр'!C124</f>
        <v>0</v>
      </c>
      <c r="D159" s="250">
        <f>'работа 3 добр'!D124</f>
        <v>12</v>
      </c>
      <c r="E159" s="250">
        <f>'работа 3 добр'!E124</f>
        <v>75</v>
      </c>
      <c r="F159" s="250">
        <f>'работа 3 добр'!F124</f>
        <v>2700</v>
      </c>
      <c r="G159" s="180">
        <f>F159*F145</f>
        <v>710.1</v>
      </c>
    </row>
    <row r="160" spans="1:9" s="7" customFormat="1" ht="15.75" x14ac:dyDescent="0.25">
      <c r="A160" s="284" t="s">
        <v>309</v>
      </c>
      <c r="B160" s="354">
        <f>'работа 3 добр'!B125</f>
        <v>1</v>
      </c>
      <c r="C160" s="354"/>
      <c r="D160" s="125">
        <f>'работа 3 добр'!D125</f>
        <v>5</v>
      </c>
      <c r="E160" s="125">
        <f>'работа 3 добр'!E125</f>
        <v>21992.651999999998</v>
      </c>
      <c r="F160" s="124">
        <f>'работа 3 добр'!F125</f>
        <v>109963.26</v>
      </c>
      <c r="G160" s="180">
        <f>PRODUCT(F160,0.263)</f>
        <v>28920.337380000001</v>
      </c>
    </row>
    <row r="161" spans="1:9" s="7" customFormat="1" ht="15.75" x14ac:dyDescent="0.25">
      <c r="A161" s="284" t="s">
        <v>310</v>
      </c>
      <c r="B161" s="354">
        <f>'работа 3 добр'!B126</f>
        <v>1</v>
      </c>
      <c r="C161" s="354"/>
      <c r="D161" s="125">
        <f>'работа 3 добр'!D126</f>
        <v>5</v>
      </c>
      <c r="E161" s="125">
        <f>'работа 3 добр'!E126</f>
        <v>20452.009999999998</v>
      </c>
      <c r="F161" s="124">
        <f>'работа 3 добр'!F126</f>
        <v>102260.07</v>
      </c>
      <c r="G161" s="180">
        <f t="shared" ref="G161:G162" si="9">PRODUCT(F161,0.263)</f>
        <v>26894.398410000002</v>
      </c>
    </row>
    <row r="162" spans="1:9" s="7" customFormat="1" ht="15.75" x14ac:dyDescent="0.25">
      <c r="A162" s="284" t="s">
        <v>311</v>
      </c>
      <c r="B162" s="354">
        <f>'работа 3 добр'!B127</f>
        <v>1</v>
      </c>
      <c r="C162" s="354"/>
      <c r="D162" s="125">
        <f>'работа 3 добр'!D127</f>
        <v>5</v>
      </c>
      <c r="E162" s="125">
        <f>'работа 3 добр'!E127</f>
        <v>21031.16</v>
      </c>
      <c r="F162" s="124">
        <f>'работа 3 добр'!F127</f>
        <v>105155.82</v>
      </c>
      <c r="G162" s="180">
        <f t="shared" si="9"/>
        <v>27655.980660000005</v>
      </c>
    </row>
    <row r="163" spans="1:9" s="7" customFormat="1" ht="18.75" x14ac:dyDescent="0.25">
      <c r="A163" s="140"/>
      <c r="B163" s="140"/>
      <c r="C163" s="140"/>
      <c r="D163" s="140"/>
      <c r="E163" s="251" t="s">
        <v>102</v>
      </c>
      <c r="F163" s="141">
        <f>F159</f>
        <v>2700</v>
      </c>
      <c r="G163" s="337">
        <f>G159+G160+G161+G162</f>
        <v>84180.816449999998</v>
      </c>
    </row>
    <row r="164" spans="1:9" ht="15.75" x14ac:dyDescent="0.25">
      <c r="A164" s="629" t="s">
        <v>47</v>
      </c>
      <c r="B164" s="629"/>
      <c r="C164" s="629"/>
      <c r="D164" s="629"/>
      <c r="E164" s="629"/>
      <c r="F164" s="629"/>
      <c r="G164" s="183"/>
      <c r="H164" s="7"/>
      <c r="I164" s="7"/>
    </row>
    <row r="165" spans="1:9" ht="15.75" x14ac:dyDescent="0.25">
      <c r="A165" s="268" t="s">
        <v>90</v>
      </c>
      <c r="B165" s="6" t="s">
        <v>66</v>
      </c>
      <c r="C165" s="6"/>
      <c r="D165" s="6"/>
      <c r="E165" s="7"/>
      <c r="F165" s="7"/>
      <c r="G165" s="183"/>
      <c r="H165" s="7"/>
      <c r="I165" s="7"/>
    </row>
    <row r="166" spans="1:9" ht="15.75" x14ac:dyDescent="0.25">
      <c r="A166" s="7"/>
      <c r="B166" s="7"/>
      <c r="C166" s="7"/>
      <c r="D166" s="174">
        <f>F145</f>
        <v>0.26300000000000001</v>
      </c>
      <c r="E166" s="7"/>
      <c r="F166" s="7"/>
      <c r="G166" s="183"/>
      <c r="H166" s="7"/>
      <c r="I166" s="7"/>
    </row>
    <row r="167" spans="1:9" ht="15" customHeight="1" x14ac:dyDescent="0.25">
      <c r="A167" s="621" t="s">
        <v>140</v>
      </c>
      <c r="B167" s="621"/>
      <c r="C167" s="259"/>
      <c r="D167" s="621" t="s">
        <v>11</v>
      </c>
      <c r="E167" s="259" t="s">
        <v>53</v>
      </c>
      <c r="F167" s="259" t="s">
        <v>15</v>
      </c>
      <c r="G167" s="673" t="s">
        <v>6</v>
      </c>
      <c r="H167" s="7"/>
      <c r="I167" s="7"/>
    </row>
    <row r="168" spans="1:9" ht="15.75" hidden="1" x14ac:dyDescent="0.25">
      <c r="A168" s="621"/>
      <c r="B168" s="621"/>
      <c r="C168" s="259"/>
      <c r="D168" s="621"/>
      <c r="E168" s="259"/>
      <c r="F168" s="259"/>
      <c r="G168" s="674"/>
      <c r="H168" s="7"/>
      <c r="I168" s="7"/>
    </row>
    <row r="169" spans="1:9" ht="15.75" x14ac:dyDescent="0.25">
      <c r="A169" s="618">
        <v>1</v>
      </c>
      <c r="B169" s="620"/>
      <c r="C169" s="258"/>
      <c r="D169" s="259">
        <v>2</v>
      </c>
      <c r="E169" s="259">
        <v>3</v>
      </c>
      <c r="F169" s="259">
        <v>4</v>
      </c>
      <c r="G169" s="91" t="s">
        <v>75</v>
      </c>
      <c r="H169" s="7"/>
      <c r="I169" s="7"/>
    </row>
    <row r="170" spans="1:9" ht="15.75" x14ac:dyDescent="0.25">
      <c r="A170" s="643" t="str">
        <f>A48</f>
        <v>Суточные</v>
      </c>
      <c r="B170" s="644"/>
      <c r="C170" s="262"/>
      <c r="D170" s="259" t="str">
        <f>D48</f>
        <v>сутки</v>
      </c>
      <c r="E170" s="310">
        <f>D166</f>
        <v>0.26300000000000001</v>
      </c>
      <c r="F170" s="272">
        <f>F48</f>
        <v>13500</v>
      </c>
      <c r="G170" s="91">
        <f>E170*F170</f>
        <v>3550.5</v>
      </c>
      <c r="H170" s="7"/>
      <c r="I170" s="7"/>
    </row>
    <row r="171" spans="1:9" ht="15.75" x14ac:dyDescent="0.25">
      <c r="A171" s="643" t="str">
        <f>A49</f>
        <v>Проезд</v>
      </c>
      <c r="B171" s="644"/>
      <c r="C171" s="262"/>
      <c r="D171" s="259" t="str">
        <f>D49</f>
        <v xml:space="preserve">Ед. </v>
      </c>
      <c r="E171" s="310">
        <f>D166</f>
        <v>0.26300000000000001</v>
      </c>
      <c r="F171" s="272">
        <f>F49</f>
        <v>60000</v>
      </c>
      <c r="G171" s="91">
        <f t="shared" ref="G171:G173" si="10">E171*F171</f>
        <v>15780</v>
      </c>
      <c r="H171" s="7"/>
      <c r="I171" s="7"/>
    </row>
    <row r="172" spans="1:9" ht="15.75" x14ac:dyDescent="0.25">
      <c r="A172" s="643" t="str">
        <f>A50</f>
        <v>Проживание (гостиница)</v>
      </c>
      <c r="B172" s="644"/>
      <c r="C172" s="262"/>
      <c r="D172" s="259" t="str">
        <f>D50</f>
        <v>сутки</v>
      </c>
      <c r="E172" s="310">
        <f>D166</f>
        <v>0.26300000000000001</v>
      </c>
      <c r="F172" s="272">
        <f>F50</f>
        <v>7499.98</v>
      </c>
      <c r="G172" s="91">
        <f t="shared" si="10"/>
        <v>1972.4947399999999</v>
      </c>
      <c r="H172" s="7"/>
      <c r="I172" s="7"/>
    </row>
    <row r="173" spans="1:9" ht="15.75" x14ac:dyDescent="0.25">
      <c r="A173" s="261" t="str">
        <f>A51</f>
        <v>Проживание (квартирные)</v>
      </c>
      <c r="B173" s="262"/>
      <c r="C173" s="262"/>
      <c r="D173" s="259" t="str">
        <f>D51</f>
        <v>сутки</v>
      </c>
      <c r="E173" s="310">
        <f>D166</f>
        <v>0.26300000000000001</v>
      </c>
      <c r="F173" s="272">
        <f>F51</f>
        <v>3375</v>
      </c>
      <c r="G173" s="91">
        <f t="shared" si="10"/>
        <v>887.625</v>
      </c>
      <c r="H173" s="7"/>
      <c r="I173" s="7"/>
    </row>
    <row r="174" spans="1:9" ht="18.75" x14ac:dyDescent="0.25">
      <c r="A174" s="664" t="s">
        <v>64</v>
      </c>
      <c r="B174" s="665"/>
      <c r="C174" s="263"/>
      <c r="D174" s="259"/>
      <c r="E174" s="87"/>
      <c r="F174" s="87"/>
      <c r="G174" s="301">
        <f>SUM(G170:G173)+0.25</f>
        <v>22190.869739999998</v>
      </c>
      <c r="H174" s="7"/>
      <c r="I174" s="7"/>
    </row>
    <row r="175" spans="1:9" ht="15.75" x14ac:dyDescent="0.25">
      <c r="A175" s="656" t="s">
        <v>36</v>
      </c>
      <c r="B175" s="656"/>
      <c r="C175" s="656"/>
      <c r="D175" s="656"/>
      <c r="E175" s="656"/>
      <c r="F175" s="656"/>
      <c r="G175" s="208"/>
      <c r="H175" s="7"/>
      <c r="I175" s="7"/>
    </row>
    <row r="176" spans="1:9" ht="15.75" x14ac:dyDescent="0.25">
      <c r="A176" s="7"/>
      <c r="B176" s="7"/>
      <c r="C176" s="7"/>
      <c r="D176" s="181">
        <f>D166</f>
        <v>0.26300000000000001</v>
      </c>
      <c r="E176" s="7"/>
      <c r="F176" s="7"/>
      <c r="G176" s="183"/>
      <c r="H176" s="7"/>
      <c r="I176" s="7"/>
    </row>
    <row r="177" spans="1:9" ht="30" customHeight="1" x14ac:dyDescent="0.25">
      <c r="A177" s="621" t="s">
        <v>24</v>
      </c>
      <c r="B177" s="621" t="s">
        <v>11</v>
      </c>
      <c r="C177" s="259"/>
      <c r="D177" s="621" t="s">
        <v>53</v>
      </c>
      <c r="E177" s="621" t="s">
        <v>105</v>
      </c>
      <c r="F177" s="622" t="s">
        <v>203</v>
      </c>
      <c r="G177" s="673" t="s">
        <v>6</v>
      </c>
      <c r="H177" s="7"/>
      <c r="I177" s="7"/>
    </row>
    <row r="178" spans="1:9" ht="15.75" customHeight="1" x14ac:dyDescent="0.25">
      <c r="A178" s="621"/>
      <c r="B178" s="621"/>
      <c r="C178" s="259"/>
      <c r="D178" s="621"/>
      <c r="E178" s="621"/>
      <c r="F178" s="623"/>
      <c r="G178" s="674"/>
      <c r="H178" s="7"/>
      <c r="I178" s="7"/>
    </row>
    <row r="179" spans="1:9" ht="15.75" x14ac:dyDescent="0.25">
      <c r="A179" s="259">
        <v>1</v>
      </c>
      <c r="B179" s="259">
        <v>2</v>
      </c>
      <c r="C179" s="259"/>
      <c r="D179" s="259">
        <v>3</v>
      </c>
      <c r="E179" s="259">
        <v>4</v>
      </c>
      <c r="F179" s="259">
        <v>5</v>
      </c>
      <c r="G179" s="86" t="s">
        <v>76</v>
      </c>
      <c r="H179" s="7"/>
      <c r="I179" s="7"/>
    </row>
    <row r="180" spans="1:9" ht="21.75" customHeight="1" x14ac:dyDescent="0.25">
      <c r="A180" s="55" t="str">
        <f>'работа 3 добр'!A158</f>
        <v>Договор ВЗ (связь по краю)</v>
      </c>
      <c r="B180" s="242" t="s">
        <v>22</v>
      </c>
      <c r="C180" s="259"/>
      <c r="D180" s="259">
        <f>1*D176</f>
        <v>0.26300000000000001</v>
      </c>
      <c r="E180" s="249">
        <f>'работа 3 добр'!E158</f>
        <v>250</v>
      </c>
      <c r="F180" s="242">
        <v>12</v>
      </c>
      <c r="G180" s="86">
        <f>D180*E180*F180</f>
        <v>789</v>
      </c>
      <c r="H180" s="7"/>
      <c r="I180" s="7"/>
    </row>
    <row r="181" spans="1:9" ht="15.75" x14ac:dyDescent="0.25">
      <c r="A181" s="55" t="str">
        <f>'работа 3 добр'!A159</f>
        <v>Абоненская плата за услуги связи, номеров</v>
      </c>
      <c r="B181" s="242" t="s">
        <v>22</v>
      </c>
      <c r="C181" s="259"/>
      <c r="D181" s="259">
        <f>1*D176</f>
        <v>0.26300000000000001</v>
      </c>
      <c r="E181" s="249">
        <f>'работа 3 добр'!E159</f>
        <v>2250</v>
      </c>
      <c r="F181" s="242">
        <v>12</v>
      </c>
      <c r="G181" s="86">
        <f t="shared" ref="G181:G185" si="11">D181*E181*F181</f>
        <v>7101</v>
      </c>
      <c r="H181" s="7"/>
      <c r="I181" s="7"/>
    </row>
    <row r="182" spans="1:9" ht="15.75" hidden="1" x14ac:dyDescent="0.25">
      <c r="A182" s="55" t="str">
        <f>'работа 3 добр'!A160</f>
        <v>Абоненская плата за услуги Интернет кайтнет</v>
      </c>
      <c r="B182" s="242" t="s">
        <v>22</v>
      </c>
      <c r="C182" s="259"/>
      <c r="D182" s="259">
        <f>1*D176</f>
        <v>0.26300000000000001</v>
      </c>
      <c r="E182" s="249">
        <f>'работа 3 добр'!E160</f>
        <v>0</v>
      </c>
      <c r="F182" s="242">
        <v>12</v>
      </c>
      <c r="G182" s="86">
        <f t="shared" si="11"/>
        <v>0</v>
      </c>
      <c r="H182" s="7"/>
      <c r="I182" s="7"/>
    </row>
    <row r="183" spans="1:9" ht="15.75" hidden="1" x14ac:dyDescent="0.25">
      <c r="A183" s="55" t="str">
        <f>'работа 3 добр'!A161</f>
        <v>Абоненская плата за услуги Интернет ИП Крамаренко:</v>
      </c>
      <c r="B183" s="242" t="s">
        <v>22</v>
      </c>
      <c r="C183" s="259"/>
      <c r="D183" s="259">
        <f>D176</f>
        <v>0.26300000000000001</v>
      </c>
      <c r="E183" s="249">
        <f>'работа 3 добр'!E161</f>
        <v>0</v>
      </c>
      <c r="F183" s="242"/>
      <c r="G183" s="86">
        <f t="shared" si="11"/>
        <v>0</v>
      </c>
      <c r="H183" s="7"/>
      <c r="I183" s="7"/>
    </row>
    <row r="184" spans="1:9" ht="15.75" x14ac:dyDescent="0.25">
      <c r="A184" s="55" t="str">
        <f>'работа 3 добр'!A162</f>
        <v>Тариф Бизнес начальный</v>
      </c>
      <c r="B184" s="242" t="s">
        <v>93</v>
      </c>
      <c r="C184" s="259"/>
      <c r="D184" s="259">
        <f>1*D180</f>
        <v>0.26300000000000001</v>
      </c>
      <c r="E184" s="249">
        <f>'работа 3 добр'!E162</f>
        <v>6500</v>
      </c>
      <c r="F184" s="242">
        <v>8</v>
      </c>
      <c r="G184" s="86">
        <f t="shared" si="11"/>
        <v>13676</v>
      </c>
      <c r="H184" s="7"/>
      <c r="I184" s="7"/>
    </row>
    <row r="185" spans="1:9" ht="15.75" x14ac:dyDescent="0.25">
      <c r="A185" s="55" t="str">
        <f>'работа 3 добр'!A163</f>
        <v>Тариф Бизнес</v>
      </c>
      <c r="B185" s="242" t="s">
        <v>93</v>
      </c>
      <c r="C185" s="259"/>
      <c r="D185" s="259">
        <f>1*D180</f>
        <v>0.26300000000000001</v>
      </c>
      <c r="E185" s="249">
        <f>'работа 3 добр'!E163</f>
        <v>11500</v>
      </c>
      <c r="F185" s="242">
        <v>4</v>
      </c>
      <c r="G185" s="86">
        <f t="shared" si="11"/>
        <v>12098</v>
      </c>
      <c r="H185" s="7"/>
      <c r="I185" s="7"/>
    </row>
    <row r="186" spans="1:9" ht="15.75" x14ac:dyDescent="0.25">
      <c r="A186" s="55" t="str">
        <f>'работа 3 добр'!A164</f>
        <v>Почтовые услуги</v>
      </c>
      <c r="B186" s="242" t="s">
        <v>93</v>
      </c>
      <c r="C186" s="259"/>
      <c r="D186" s="259">
        <f>1*D180</f>
        <v>0.26300000000000001</v>
      </c>
      <c r="E186" s="249">
        <f>'работа 3 добр'!E164</f>
        <v>167.6</v>
      </c>
      <c r="F186" s="242">
        <v>12</v>
      </c>
      <c r="G186" s="86">
        <f>D186*E186*F186-0.03</f>
        <v>528.91560000000004</v>
      </c>
      <c r="H186" s="7"/>
      <c r="I186" s="7"/>
    </row>
    <row r="187" spans="1:9" ht="18.75" x14ac:dyDescent="0.3">
      <c r="A187" s="670" t="s">
        <v>26</v>
      </c>
      <c r="B187" s="671"/>
      <c r="C187" s="671"/>
      <c r="D187" s="671"/>
      <c r="E187" s="671"/>
      <c r="F187" s="672"/>
      <c r="G187" s="297">
        <f>SUM(G180:G186)</f>
        <v>34192.9156</v>
      </c>
      <c r="H187" s="7"/>
      <c r="I187" s="7"/>
    </row>
    <row r="188" spans="1:9" ht="15.75" x14ac:dyDescent="0.25">
      <c r="A188" s="656" t="s">
        <v>61</v>
      </c>
      <c r="B188" s="656"/>
      <c r="C188" s="656"/>
      <c r="D188" s="656"/>
      <c r="E188" s="656"/>
      <c r="F188" s="656"/>
      <c r="G188" s="183"/>
      <c r="H188" s="7"/>
      <c r="I188" s="7"/>
    </row>
    <row r="189" spans="1:9" ht="15.75" x14ac:dyDescent="0.25">
      <c r="A189" s="7"/>
      <c r="B189" s="7"/>
      <c r="C189" s="7"/>
      <c r="D189" s="181">
        <f>D176</f>
        <v>0.26300000000000001</v>
      </c>
      <c r="E189" s="7"/>
      <c r="F189" s="7"/>
      <c r="G189" s="183"/>
      <c r="H189" s="7"/>
      <c r="I189" s="7"/>
    </row>
    <row r="190" spans="1:9" ht="10.15" customHeight="1" x14ac:dyDescent="0.25">
      <c r="A190" s="621" t="s">
        <v>299</v>
      </c>
      <c r="B190" s="621" t="s">
        <v>11</v>
      </c>
      <c r="C190" s="259"/>
      <c r="D190" s="621" t="s">
        <v>53</v>
      </c>
      <c r="E190" s="621" t="s">
        <v>106</v>
      </c>
      <c r="F190" s="621" t="s">
        <v>25</v>
      </c>
      <c r="G190" s="673" t="s">
        <v>6</v>
      </c>
      <c r="H190" s="7"/>
      <c r="I190" s="7"/>
    </row>
    <row r="191" spans="1:9" ht="4.1500000000000004" customHeight="1" x14ac:dyDescent="0.25">
      <c r="A191" s="621"/>
      <c r="B191" s="621"/>
      <c r="C191" s="259"/>
      <c r="D191" s="621"/>
      <c r="E191" s="621"/>
      <c r="F191" s="621"/>
      <c r="G191" s="674"/>
      <c r="H191" s="7"/>
      <c r="I191" s="7"/>
    </row>
    <row r="192" spans="1:9" ht="15.75" x14ac:dyDescent="0.25">
      <c r="A192" s="259">
        <v>1</v>
      </c>
      <c r="B192" s="259">
        <v>2</v>
      </c>
      <c r="C192" s="259"/>
      <c r="D192" s="259">
        <v>3</v>
      </c>
      <c r="E192" s="259">
        <v>4</v>
      </c>
      <c r="F192" s="259">
        <v>5</v>
      </c>
      <c r="G192" s="86" t="s">
        <v>77</v>
      </c>
      <c r="H192" s="7"/>
      <c r="I192" s="7"/>
    </row>
    <row r="193" spans="1:9" ht="15.75" x14ac:dyDescent="0.25">
      <c r="A193" s="78" t="str">
        <f>'работа 3 добр'!A171</f>
        <v>Проезд к месту учебы</v>
      </c>
      <c r="B193" s="384" t="s">
        <v>141</v>
      </c>
      <c r="C193" s="384"/>
      <c r="D193" s="384">
        <v>0.26300000000000001</v>
      </c>
      <c r="E193" s="384">
        <f>'работа 3 добр'!E171</f>
        <v>8151.4</v>
      </c>
      <c r="F193" s="384">
        <v>1</v>
      </c>
      <c r="G193" s="86">
        <f>D193*E193*F193</f>
        <v>2143.8182000000002</v>
      </c>
      <c r="H193" s="7"/>
      <c r="I193" s="7"/>
    </row>
    <row r="194" spans="1:9" ht="15.75" x14ac:dyDescent="0.25">
      <c r="A194" s="75" t="s">
        <v>205</v>
      </c>
      <c r="B194" s="259" t="s">
        <v>22</v>
      </c>
      <c r="C194" s="259"/>
      <c r="D194" s="259">
        <f>1*D189</f>
        <v>0.26300000000000001</v>
      </c>
      <c r="E194" s="384">
        <f>'работа 3 добр'!E172</f>
        <v>10848.6</v>
      </c>
      <c r="F194" s="259">
        <v>1</v>
      </c>
      <c r="G194" s="86">
        <f>D194*E194*F194</f>
        <v>2853.1818000000003</v>
      </c>
      <c r="H194" s="7"/>
      <c r="I194" s="7"/>
    </row>
    <row r="195" spans="1:9" ht="18.75" x14ac:dyDescent="0.25">
      <c r="A195" s="670" t="s">
        <v>62</v>
      </c>
      <c r="B195" s="671"/>
      <c r="C195" s="671"/>
      <c r="D195" s="671"/>
      <c r="E195" s="671"/>
      <c r="F195" s="672"/>
      <c r="G195" s="300">
        <f>SUM(G193:G194)</f>
        <v>4997</v>
      </c>
      <c r="H195" s="7"/>
      <c r="I195" s="7"/>
    </row>
    <row r="196" spans="1:9" ht="15.75" x14ac:dyDescent="0.25">
      <c r="A196" s="675" t="s">
        <v>19</v>
      </c>
      <c r="B196" s="675"/>
      <c r="C196" s="675"/>
      <c r="D196" s="675"/>
      <c r="E196" s="675"/>
      <c r="F196" s="675"/>
      <c r="G196" s="183"/>
      <c r="H196" s="7"/>
      <c r="I196" s="7"/>
    </row>
    <row r="197" spans="1:9" ht="15.75" x14ac:dyDescent="0.25">
      <c r="A197" s="7"/>
      <c r="B197" s="7"/>
      <c r="C197" s="7"/>
      <c r="D197" s="181">
        <f>D189</f>
        <v>0.26300000000000001</v>
      </c>
      <c r="E197" s="7"/>
      <c r="F197" s="7"/>
      <c r="G197" s="183"/>
      <c r="H197" s="7"/>
      <c r="I197" s="7"/>
    </row>
    <row r="198" spans="1:9" ht="3.6" customHeight="1" x14ac:dyDescent="0.25">
      <c r="A198" s="621" t="s">
        <v>21</v>
      </c>
      <c r="B198" s="621" t="s">
        <v>11</v>
      </c>
      <c r="C198" s="259"/>
      <c r="D198" s="621" t="s">
        <v>14</v>
      </c>
      <c r="E198" s="621" t="s">
        <v>105</v>
      </c>
      <c r="F198" s="621" t="s">
        <v>6</v>
      </c>
      <c r="G198" s="183"/>
      <c r="H198" s="7"/>
      <c r="I198" s="7"/>
    </row>
    <row r="199" spans="1:9" ht="24" customHeight="1" x14ac:dyDescent="0.25">
      <c r="A199" s="621"/>
      <c r="B199" s="621"/>
      <c r="C199" s="259"/>
      <c r="D199" s="621"/>
      <c r="E199" s="621"/>
      <c r="F199" s="621"/>
      <c r="G199" s="183"/>
      <c r="H199" s="7"/>
      <c r="I199" s="7"/>
    </row>
    <row r="200" spans="1:9" ht="15.75" x14ac:dyDescent="0.25">
      <c r="A200" s="259">
        <v>1</v>
      </c>
      <c r="B200" s="259">
        <v>2</v>
      </c>
      <c r="C200" s="259"/>
      <c r="D200" s="259">
        <v>3</v>
      </c>
      <c r="E200" s="259">
        <v>7</v>
      </c>
      <c r="F200" s="259" t="s">
        <v>198</v>
      </c>
      <c r="G200" s="183"/>
      <c r="H200" s="7"/>
      <c r="I200" s="7"/>
    </row>
    <row r="201" spans="1:9" ht="15.75" x14ac:dyDescent="0.25">
      <c r="A201" s="78" t="str">
        <f>'работа 3 добр'!A180</f>
        <v xml:space="preserve">Обслуживание систем пожарной сигнализации  </v>
      </c>
      <c r="B201" s="360" t="str">
        <f>'работа 3 добр'!B180</f>
        <v>договор</v>
      </c>
      <c r="C201" s="360"/>
      <c r="D201" s="360">
        <f>12*D197</f>
        <v>3.1560000000000001</v>
      </c>
      <c r="E201" s="360">
        <f>'работа 3 добр'!E180</f>
        <v>2000</v>
      </c>
      <c r="F201" s="360">
        <f>D201*E201</f>
        <v>6312</v>
      </c>
      <c r="G201" s="183"/>
      <c r="H201" s="7"/>
      <c r="I201" s="7"/>
    </row>
    <row r="202" spans="1:9" ht="15.75" x14ac:dyDescent="0.25">
      <c r="A202" s="78" t="str">
        <f>'работа 3 добр'!A181</f>
        <v xml:space="preserve">Уборка территории от снега </v>
      </c>
      <c r="B202" s="360" t="str">
        <f>'работа 3 добр'!B181</f>
        <v>договор</v>
      </c>
      <c r="C202" s="360"/>
      <c r="D202" s="360">
        <f>2*D197</f>
        <v>0.52600000000000002</v>
      </c>
      <c r="E202" s="360">
        <f>'работа 3 добр'!E181</f>
        <v>23197</v>
      </c>
      <c r="F202" s="360">
        <f t="shared" ref="F202:F225" si="12">D202*E202</f>
        <v>12201.622000000001</v>
      </c>
      <c r="G202" s="183"/>
      <c r="H202" s="7"/>
      <c r="I202" s="7"/>
    </row>
    <row r="203" spans="1:9" ht="15.75" x14ac:dyDescent="0.25">
      <c r="A203" s="78" t="str">
        <f>'работа 3 добр'!A182</f>
        <v>Профилактическая дезинфекция</v>
      </c>
      <c r="B203" s="360" t="str">
        <f>'работа 3 добр'!B182</f>
        <v>договор</v>
      </c>
      <c r="C203" s="360"/>
      <c r="D203" s="360">
        <f>D197</f>
        <v>0.26300000000000001</v>
      </c>
      <c r="E203" s="360">
        <f>'работа 3 добр'!E182</f>
        <v>12104.4</v>
      </c>
      <c r="F203" s="360">
        <f t="shared" si="12"/>
        <v>3183.4571999999998</v>
      </c>
      <c r="G203" s="183"/>
      <c r="H203" s="7"/>
      <c r="I203" s="7"/>
    </row>
    <row r="204" spans="1:9" ht="31.5" x14ac:dyDescent="0.25">
      <c r="A204" s="78" t="str">
        <f>'работа 3 добр'!A183</f>
        <v>Комплексное обслуживание системы тепловодоснабжения и конструктивных элементов здания</v>
      </c>
      <c r="B204" s="360" t="str">
        <f>'работа 3 добр'!B183</f>
        <v>договор</v>
      </c>
      <c r="C204" s="360"/>
      <c r="D204" s="360">
        <f>D197</f>
        <v>0.26300000000000001</v>
      </c>
      <c r="E204" s="360">
        <f>'работа 3 добр'!E183</f>
        <v>17364.580000000002</v>
      </c>
      <c r="F204" s="360">
        <f t="shared" si="12"/>
        <v>4566.8845400000009</v>
      </c>
      <c r="G204" s="183"/>
      <c r="H204" s="7"/>
      <c r="I204" s="7"/>
    </row>
    <row r="205" spans="1:9" ht="15.75" x14ac:dyDescent="0.25">
      <c r="A205" s="78" t="str">
        <f>'работа 3 добр'!A184</f>
        <v>Договор ТО автомобиля</v>
      </c>
      <c r="B205" s="360" t="str">
        <f>'работа 3 добр'!B184</f>
        <v>договор</v>
      </c>
      <c r="C205" s="360"/>
      <c r="D205" s="360">
        <f>D197</f>
        <v>0.26300000000000001</v>
      </c>
      <c r="E205" s="360">
        <f>'работа 3 добр'!E184</f>
        <v>39517.64</v>
      </c>
      <c r="F205" s="360">
        <f t="shared" si="12"/>
        <v>10393.13932</v>
      </c>
      <c r="G205" s="183"/>
      <c r="H205" s="7"/>
      <c r="I205" s="7"/>
    </row>
    <row r="206" spans="1:9" ht="31.5" x14ac:dyDescent="0.25">
      <c r="A206" s="78" t="str">
        <f>'работа 3 добр'!A185</f>
        <v>Восстановительные работы по а/м Хёндай (остаток не под контрактом)</v>
      </c>
      <c r="B206" s="360" t="str">
        <f>'работа 3 добр'!B185</f>
        <v>договор</v>
      </c>
      <c r="C206" s="360"/>
      <c r="D206" s="360">
        <f>D197</f>
        <v>0.26300000000000001</v>
      </c>
      <c r="E206" s="360">
        <f>'работа 3 добр'!E185</f>
        <v>64100</v>
      </c>
      <c r="F206" s="360">
        <f t="shared" si="12"/>
        <v>16858.3</v>
      </c>
      <c r="G206" s="183"/>
      <c r="H206" s="7"/>
      <c r="I206" s="7"/>
    </row>
    <row r="207" spans="1:9" ht="15.75" x14ac:dyDescent="0.25">
      <c r="A207" s="78" t="str">
        <f>'работа 3 добр'!A186</f>
        <v>Покраска переднего бампера</v>
      </c>
      <c r="B207" s="360" t="str">
        <f>'работа 3 добр'!B186</f>
        <v>договор</v>
      </c>
      <c r="C207" s="360"/>
      <c r="D207" s="360">
        <f>D197</f>
        <v>0.26300000000000001</v>
      </c>
      <c r="E207" s="360">
        <f>'работа 3 добр'!E186</f>
        <v>6900</v>
      </c>
      <c r="F207" s="360">
        <f t="shared" si="12"/>
        <v>1814.7</v>
      </c>
      <c r="G207" s="183"/>
      <c r="H207" s="7"/>
      <c r="I207" s="7"/>
    </row>
    <row r="208" spans="1:9" ht="15.75" x14ac:dyDescent="0.25">
      <c r="A208" s="78" t="str">
        <f>'работа 3 добр'!A187</f>
        <v>Покраска капота</v>
      </c>
      <c r="B208" s="360" t="str">
        <f>'работа 3 добр'!B187</f>
        <v>договор</v>
      </c>
      <c r="C208" s="360"/>
      <c r="D208" s="360">
        <f>D197</f>
        <v>0.26300000000000001</v>
      </c>
      <c r="E208" s="360">
        <f>'работа 3 добр'!E187</f>
        <v>7400</v>
      </c>
      <c r="F208" s="360">
        <f t="shared" si="12"/>
        <v>1946.2</v>
      </c>
      <c r="G208" s="183"/>
      <c r="H208" s="7"/>
      <c r="I208" s="7"/>
    </row>
    <row r="209" spans="1:9" ht="15.75" x14ac:dyDescent="0.25">
      <c r="A209" s="78" t="str">
        <f>'работа 3 добр'!A188</f>
        <v>Покраска переднего левого крыла</v>
      </c>
      <c r="B209" s="360" t="str">
        <f>'работа 3 добр'!B188</f>
        <v>договор</v>
      </c>
      <c r="C209" s="360"/>
      <c r="D209" s="360">
        <f>D208</f>
        <v>0.26300000000000001</v>
      </c>
      <c r="E209" s="360">
        <f>'работа 3 добр'!E188</f>
        <v>8500</v>
      </c>
      <c r="F209" s="360">
        <f t="shared" si="12"/>
        <v>2235.5</v>
      </c>
      <c r="G209" s="183"/>
      <c r="H209" s="7"/>
      <c r="I209" s="7"/>
    </row>
    <row r="210" spans="1:9" ht="15.75" x14ac:dyDescent="0.25">
      <c r="A210" s="78" t="str">
        <f>'работа 3 добр'!A189</f>
        <v>Покраска переднего правого крыла</v>
      </c>
      <c r="B210" s="360" t="str">
        <f>'работа 3 добр'!B189</f>
        <v>договор</v>
      </c>
      <c r="C210" s="360"/>
      <c r="D210" s="360">
        <f>D209</f>
        <v>0.26300000000000001</v>
      </c>
      <c r="E210" s="360">
        <f>'работа 3 добр'!E189</f>
        <v>8500</v>
      </c>
      <c r="F210" s="360">
        <f t="shared" si="12"/>
        <v>2235.5</v>
      </c>
      <c r="G210" s="183"/>
      <c r="H210" s="7"/>
      <c r="I210" s="7"/>
    </row>
    <row r="211" spans="1:9" ht="15.75" x14ac:dyDescent="0.25">
      <c r="A211" s="78" t="str">
        <f>'работа 3 добр'!A190</f>
        <v>Покраска передней левой двери</v>
      </c>
      <c r="B211" s="360" t="str">
        <f>'работа 3 добр'!B190</f>
        <v>договор</v>
      </c>
      <c r="C211" s="360"/>
      <c r="D211" s="360">
        <f>D209</f>
        <v>0.26300000000000001</v>
      </c>
      <c r="E211" s="360">
        <f>'работа 3 добр'!E190</f>
        <v>4000</v>
      </c>
      <c r="F211" s="360">
        <f t="shared" si="12"/>
        <v>1052</v>
      </c>
      <c r="G211" s="183"/>
      <c r="H211" s="7"/>
      <c r="I211" s="7"/>
    </row>
    <row r="212" spans="1:9" ht="15.75" x14ac:dyDescent="0.25">
      <c r="A212" s="78" t="str">
        <f>'работа 3 добр'!A191</f>
        <v>Покраска двери передней правой</v>
      </c>
      <c r="B212" s="360" t="str">
        <f>'работа 3 добр'!B191</f>
        <v>договор</v>
      </c>
      <c r="C212" s="360"/>
      <c r="D212" s="360">
        <f>D209</f>
        <v>0.26300000000000001</v>
      </c>
      <c r="E212" s="360">
        <f>'работа 3 добр'!E191</f>
        <v>4000</v>
      </c>
      <c r="F212" s="360">
        <f t="shared" si="12"/>
        <v>1052</v>
      </c>
      <c r="G212" s="183"/>
      <c r="H212" s="7"/>
      <c r="I212" s="7"/>
    </row>
    <row r="213" spans="1:9" ht="15.75" x14ac:dyDescent="0.25">
      <c r="A213" s="78" t="str">
        <f>'работа 3 добр'!A192</f>
        <v>Покраска стойки правой</v>
      </c>
      <c r="B213" s="360" t="str">
        <f>'работа 3 добр'!B192</f>
        <v>договор</v>
      </c>
      <c r="C213" s="360"/>
      <c r="D213" s="360">
        <f>D197</f>
        <v>0.26300000000000001</v>
      </c>
      <c r="E213" s="360">
        <f>'работа 3 добр'!E192</f>
        <v>3000</v>
      </c>
      <c r="F213" s="360">
        <f t="shared" si="12"/>
        <v>789</v>
      </c>
      <c r="G213" s="183"/>
      <c r="H213" s="7"/>
      <c r="I213" s="7"/>
    </row>
    <row r="214" spans="1:9" ht="15.75" x14ac:dyDescent="0.25">
      <c r="A214" s="78" t="str">
        <f>'работа 3 добр'!A193</f>
        <v>Ремонт заднего бампера</v>
      </c>
      <c r="B214" s="360" t="str">
        <f>'работа 3 добр'!B193</f>
        <v>договор</v>
      </c>
      <c r="C214" s="360"/>
      <c r="D214" s="360">
        <f t="shared" ref="D214" si="13">D207</f>
        <v>0.26300000000000001</v>
      </c>
      <c r="E214" s="360">
        <f>'работа 3 добр'!E193</f>
        <v>9500</v>
      </c>
      <c r="F214" s="360">
        <f t="shared" si="12"/>
        <v>2498.5</v>
      </c>
      <c r="G214" s="183"/>
      <c r="H214" s="7"/>
      <c r="I214" s="7"/>
    </row>
    <row r="215" spans="1:9" ht="15.75" x14ac:dyDescent="0.25">
      <c r="A215" s="78" t="str">
        <f>'работа 3 добр'!A194</f>
        <v>Покраска заднего бампера</v>
      </c>
      <c r="B215" s="360" t="str">
        <f>'работа 3 добр'!B194</f>
        <v>договор</v>
      </c>
      <c r="C215" s="360"/>
      <c r="D215" s="360">
        <f t="shared" ref="D215" si="14">D207</f>
        <v>0.26300000000000001</v>
      </c>
      <c r="E215" s="360">
        <f>'работа 3 добр'!E194</f>
        <v>9000</v>
      </c>
      <c r="F215" s="360">
        <f t="shared" si="12"/>
        <v>2367</v>
      </c>
      <c r="G215" s="183"/>
      <c r="H215" s="7"/>
      <c r="I215" s="7"/>
    </row>
    <row r="216" spans="1:9" ht="15.75" x14ac:dyDescent="0.25">
      <c r="A216" s="78" t="str">
        <f>'работа 3 добр'!A195</f>
        <v>Полировка кузова</v>
      </c>
      <c r="B216" s="360" t="str">
        <f>'работа 3 добр'!B195</f>
        <v>договор</v>
      </c>
      <c r="C216" s="360"/>
      <c r="D216" s="360">
        <f t="shared" ref="D216" si="15">D207</f>
        <v>0.26300000000000001</v>
      </c>
      <c r="E216" s="360">
        <f>'работа 3 добр'!E195</f>
        <v>9600</v>
      </c>
      <c r="F216" s="360">
        <f t="shared" si="12"/>
        <v>2524.8000000000002</v>
      </c>
      <c r="G216" s="183"/>
      <c r="H216" s="7"/>
      <c r="I216" s="7"/>
    </row>
    <row r="217" spans="1:9" ht="15.75" x14ac:dyDescent="0.25">
      <c r="A217" s="78" t="str">
        <f>'работа 3 добр'!A196</f>
        <v>Покраска крышки багажника</v>
      </c>
      <c r="B217" s="360" t="str">
        <f>'работа 3 добр'!B196</f>
        <v>договор</v>
      </c>
      <c r="C217" s="360"/>
      <c r="D217" s="360">
        <f t="shared" ref="D217" si="16">D207</f>
        <v>0.26300000000000001</v>
      </c>
      <c r="E217" s="360">
        <f>'работа 3 добр'!E196</f>
        <v>9500</v>
      </c>
      <c r="F217" s="360">
        <f t="shared" si="12"/>
        <v>2498.5</v>
      </c>
      <c r="G217" s="183"/>
      <c r="H217" s="7"/>
      <c r="I217" s="7"/>
    </row>
    <row r="218" spans="1:9" ht="15.75" x14ac:dyDescent="0.25">
      <c r="A218" s="78" t="str">
        <f>'работа 3 добр'!A197</f>
        <v>Полировка стекол со снятием</v>
      </c>
      <c r="B218" s="360" t="str">
        <f>'работа 3 добр'!B197</f>
        <v>договор</v>
      </c>
      <c r="C218" s="360"/>
      <c r="D218" s="360">
        <f t="shared" ref="D218" si="17">D207</f>
        <v>0.26300000000000001</v>
      </c>
      <c r="E218" s="360">
        <f>'работа 3 добр'!E197</f>
        <v>5000</v>
      </c>
      <c r="F218" s="360">
        <f t="shared" si="12"/>
        <v>1315</v>
      </c>
      <c r="G218" s="183"/>
      <c r="H218" s="7"/>
      <c r="I218" s="7"/>
    </row>
    <row r="219" spans="1:9" ht="15.75" x14ac:dyDescent="0.25">
      <c r="A219" s="78" t="str">
        <f>'работа 3 добр'!A198</f>
        <v>Слесарные работы по восстановлению сидений</v>
      </c>
      <c r="B219" s="360" t="str">
        <f>'работа 3 добр'!B198</f>
        <v>договор</v>
      </c>
      <c r="C219" s="360"/>
      <c r="D219" s="360">
        <f t="shared" ref="D219" si="18">D212</f>
        <v>0.26300000000000001</v>
      </c>
      <c r="E219" s="360">
        <f>'работа 3 добр'!E198</f>
        <v>15000</v>
      </c>
      <c r="F219" s="360">
        <f t="shared" si="12"/>
        <v>3945</v>
      </c>
      <c r="G219" s="183"/>
      <c r="H219" s="7"/>
      <c r="I219" s="7"/>
    </row>
    <row r="220" spans="1:9" ht="15.75" x14ac:dyDescent="0.25">
      <c r="A220" s="78" t="str">
        <f>'работа 3 добр'!A199</f>
        <v>Ремонт электрогитары</v>
      </c>
      <c r="B220" s="360" t="str">
        <f>'работа 3 добр'!B199</f>
        <v>договор</v>
      </c>
      <c r="C220" s="360"/>
      <c r="D220" s="360">
        <f t="shared" ref="D220" si="19">D212</f>
        <v>0.26300000000000001</v>
      </c>
      <c r="E220" s="360">
        <f>'работа 3 добр'!E199</f>
        <v>2000</v>
      </c>
      <c r="F220" s="360">
        <f t="shared" si="12"/>
        <v>526</v>
      </c>
      <c r="G220" s="183"/>
      <c r="H220" s="7"/>
      <c r="I220" s="7"/>
    </row>
    <row r="221" spans="1:9" ht="15.75" x14ac:dyDescent="0.25">
      <c r="A221" s="78" t="str">
        <f>'работа 3 добр'!A200</f>
        <v>Ремонт акустической системы</v>
      </c>
      <c r="B221" s="360" t="str">
        <f>'работа 3 добр'!B200</f>
        <v>договор</v>
      </c>
      <c r="C221" s="360"/>
      <c r="D221" s="360">
        <f t="shared" ref="D221" si="20">D212</f>
        <v>0.26300000000000001</v>
      </c>
      <c r="E221" s="360">
        <f>'работа 3 добр'!E200</f>
        <v>2000</v>
      </c>
      <c r="F221" s="360">
        <f t="shared" si="12"/>
        <v>526</v>
      </c>
      <c r="G221" s="183"/>
      <c r="H221" s="7"/>
      <c r="I221" s="7"/>
    </row>
    <row r="222" spans="1:9" ht="15.75" x14ac:dyDescent="0.25">
      <c r="A222" s="78" t="str">
        <f>'работа 3 добр'!A201</f>
        <v>Ремонт микшера</v>
      </c>
      <c r="B222" s="360" t="str">
        <f>'работа 3 добр'!B201</f>
        <v>договор</v>
      </c>
      <c r="C222" s="360"/>
      <c r="D222" s="360">
        <f t="shared" ref="D222" si="21">D212</f>
        <v>0.26300000000000001</v>
      </c>
      <c r="E222" s="360">
        <f>'работа 3 добр'!E201</f>
        <v>2000</v>
      </c>
      <c r="F222" s="360">
        <f t="shared" si="12"/>
        <v>526</v>
      </c>
      <c r="G222" s="183"/>
      <c r="H222" s="7"/>
      <c r="I222" s="7"/>
    </row>
    <row r="223" spans="1:9" ht="15.75" x14ac:dyDescent="0.25">
      <c r="A223" s="78" t="str">
        <f>'работа 3 добр'!A202</f>
        <v>Ремонт комбо басовый</v>
      </c>
      <c r="B223" s="360" t="str">
        <f>'работа 3 добр'!B202</f>
        <v>договор</v>
      </c>
      <c r="C223" s="360"/>
      <c r="D223" s="360">
        <f t="shared" ref="D223" si="22">D212</f>
        <v>0.26300000000000001</v>
      </c>
      <c r="E223" s="360">
        <f>'работа 3 добр'!E202</f>
        <v>2000</v>
      </c>
      <c r="F223" s="360">
        <f t="shared" si="12"/>
        <v>526</v>
      </c>
      <c r="G223" s="183"/>
      <c r="H223" s="7"/>
      <c r="I223" s="7"/>
    </row>
    <row r="224" spans="1:9" ht="15.75" x14ac:dyDescent="0.25">
      <c r="A224" s="78" t="str">
        <f>'работа 3 добр'!A203</f>
        <v>Ремонт Гитарного комбоусителя</v>
      </c>
      <c r="B224" s="360" t="str">
        <f>'работа 3 добр'!B203</f>
        <v>договор</v>
      </c>
      <c r="C224" s="360"/>
      <c r="D224" s="360">
        <f t="shared" ref="D224" si="23">D217</f>
        <v>0.26300000000000001</v>
      </c>
      <c r="E224" s="360">
        <f>'работа 3 добр'!E203</f>
        <v>2000</v>
      </c>
      <c r="F224" s="360">
        <f t="shared" si="12"/>
        <v>526</v>
      </c>
      <c r="G224" s="183"/>
      <c r="H224" s="7"/>
      <c r="I224" s="7"/>
    </row>
    <row r="225" spans="1:9" ht="15.75" x14ac:dyDescent="0.25">
      <c r="A225" s="78" t="str">
        <f>'работа 3 добр'!A204</f>
        <v>Ремонт аккустической системы</v>
      </c>
      <c r="B225" s="360" t="str">
        <f>'работа 3 добр'!B204</f>
        <v>договор</v>
      </c>
      <c r="C225" s="360"/>
      <c r="D225" s="360">
        <f t="shared" ref="D225" si="24">D217</f>
        <v>0.26300000000000001</v>
      </c>
      <c r="E225" s="360">
        <f>'работа 3 добр'!E204</f>
        <v>2500</v>
      </c>
      <c r="F225" s="360">
        <f t="shared" si="12"/>
        <v>657.5</v>
      </c>
      <c r="G225" s="183"/>
      <c r="H225" s="7"/>
      <c r="I225" s="7"/>
    </row>
    <row r="226" spans="1:9" ht="18.75" x14ac:dyDescent="0.25">
      <c r="A226" s="625" t="s">
        <v>23</v>
      </c>
      <c r="B226" s="626"/>
      <c r="C226" s="626"/>
      <c r="D226" s="626"/>
      <c r="E226" s="627"/>
      <c r="F226" s="170">
        <f>SUM(F201:F225)</f>
        <v>83076.603060000009</v>
      </c>
      <c r="G226" s="183"/>
      <c r="H226" s="7"/>
      <c r="I226" s="7"/>
    </row>
    <row r="227" spans="1:9" ht="15.75" x14ac:dyDescent="0.25">
      <c r="A227" s="636" t="s">
        <v>29</v>
      </c>
      <c r="B227" s="637"/>
      <c r="C227" s="637"/>
      <c r="D227" s="637"/>
      <c r="E227" s="637"/>
      <c r="F227" s="638"/>
      <c r="G227" s="183"/>
      <c r="H227" s="7"/>
      <c r="I227" s="7"/>
    </row>
    <row r="228" spans="1:9" ht="15.75" x14ac:dyDescent="0.25">
      <c r="A228" s="639">
        <f>D197</f>
        <v>0.26300000000000001</v>
      </c>
      <c r="B228" s="640"/>
      <c r="C228" s="640"/>
      <c r="D228" s="640"/>
      <c r="E228" s="640"/>
      <c r="F228" s="641"/>
      <c r="G228" s="183"/>
      <c r="H228" s="7"/>
      <c r="I228" s="7"/>
    </row>
    <row r="229" spans="1:9" ht="15.75" x14ac:dyDescent="0.25">
      <c r="A229" s="488" t="s">
        <v>30</v>
      </c>
      <c r="B229" s="488" t="s">
        <v>11</v>
      </c>
      <c r="C229" s="242"/>
      <c r="D229" s="488" t="s">
        <v>14</v>
      </c>
      <c r="E229" s="488" t="s">
        <v>15</v>
      </c>
      <c r="F229" s="488" t="s">
        <v>6</v>
      </c>
      <c r="G229" s="183"/>
      <c r="H229" s="7"/>
      <c r="I229" s="7"/>
    </row>
    <row r="230" spans="1:9" ht="3" customHeight="1" x14ac:dyDescent="0.25">
      <c r="A230" s="488"/>
      <c r="B230" s="488"/>
      <c r="C230" s="242"/>
      <c r="D230" s="488"/>
      <c r="E230" s="488"/>
      <c r="F230" s="488"/>
      <c r="G230" s="183"/>
      <c r="H230" s="7"/>
      <c r="I230" s="7"/>
    </row>
    <row r="231" spans="1:9" ht="15.75" x14ac:dyDescent="0.25">
      <c r="A231" s="242">
        <v>1</v>
      </c>
      <c r="B231" s="242">
        <v>2</v>
      </c>
      <c r="C231" s="242"/>
      <c r="D231" s="242">
        <v>3</v>
      </c>
      <c r="E231" s="242">
        <v>7</v>
      </c>
      <c r="F231" s="242" t="s">
        <v>198</v>
      </c>
      <c r="G231" s="183"/>
      <c r="H231" s="7"/>
      <c r="I231" s="7"/>
    </row>
    <row r="232" spans="1:9" ht="15.75" x14ac:dyDescent="0.25">
      <c r="A232" s="139" t="str">
        <f>'работа 2 пат'!A215</f>
        <v>Обучение персонала</v>
      </c>
      <c r="B232" s="259" t="s">
        <v>22</v>
      </c>
      <c r="C232" s="242"/>
      <c r="D232" s="318">
        <f>5*A228</f>
        <v>1.3149999999999999</v>
      </c>
      <c r="E232" s="274">
        <f>'работа 2 пат'!E215</f>
        <v>12000</v>
      </c>
      <c r="F232" s="242">
        <f>D232*E232</f>
        <v>15780</v>
      </c>
      <c r="G232" s="183"/>
      <c r="H232" s="7"/>
      <c r="I232" s="7"/>
    </row>
    <row r="233" spans="1:9" ht="15.75" x14ac:dyDescent="0.25">
      <c r="A233" s="139" t="str">
        <f>'работа 2 пат'!A216</f>
        <v>Услуги СЕМИС подписка</v>
      </c>
      <c r="B233" s="259" t="s">
        <v>22</v>
      </c>
      <c r="C233" s="242"/>
      <c r="D233" s="318">
        <f>A228</f>
        <v>0.26300000000000001</v>
      </c>
      <c r="E233" s="274">
        <f>'работа 2 пат'!E216</f>
        <v>1606</v>
      </c>
      <c r="F233" s="286">
        <f t="shared" ref="F233:F298" si="25">D233*E233</f>
        <v>422.37800000000004</v>
      </c>
      <c r="G233" s="183"/>
      <c r="H233" s="7"/>
      <c r="I233" s="7"/>
    </row>
    <row r="234" spans="1:9" ht="15.75" x14ac:dyDescent="0.25">
      <c r="A234" s="139" t="str">
        <f>'работа 2 пат'!A217</f>
        <v xml:space="preserve">Обслуживание систем пожарной сигнализации  </v>
      </c>
      <c r="B234" s="259" t="s">
        <v>22</v>
      </c>
      <c r="C234" s="242"/>
      <c r="D234" s="318">
        <f>A228*12</f>
        <v>3.1560000000000001</v>
      </c>
      <c r="E234" s="274">
        <f>'работа 2 пат'!E217</f>
        <v>2000</v>
      </c>
      <c r="F234" s="286">
        <f t="shared" si="25"/>
        <v>6312</v>
      </c>
      <c r="G234" s="183"/>
      <c r="H234" s="7"/>
      <c r="I234" s="7"/>
    </row>
    <row r="235" spans="1:9" ht="15.75" x14ac:dyDescent="0.25">
      <c r="A235" s="139" t="str">
        <f>'работа 2 пат'!A218</f>
        <v xml:space="preserve">Обслуживание систем видеонаблюдения </v>
      </c>
      <c r="B235" s="259" t="s">
        <v>22</v>
      </c>
      <c r="C235" s="242"/>
      <c r="D235" s="318">
        <f>A228*12</f>
        <v>3.1560000000000001</v>
      </c>
      <c r="E235" s="274">
        <f>'работа 2 пат'!E218</f>
        <v>1000</v>
      </c>
      <c r="F235" s="286">
        <f t="shared" si="25"/>
        <v>3156</v>
      </c>
      <c r="G235" s="183"/>
      <c r="H235" s="7"/>
      <c r="I235" s="7"/>
    </row>
    <row r="236" spans="1:9" ht="15.75" x14ac:dyDescent="0.25">
      <c r="A236" s="139" t="str">
        <f>'работа 2 пат'!A219</f>
        <v>Предрейсовое медицинское обследование 247дней*90руб</v>
      </c>
      <c r="B236" s="259" t="s">
        <v>22</v>
      </c>
      <c r="C236" s="242"/>
      <c r="D236" s="318">
        <f>A228</f>
        <v>0.26300000000000001</v>
      </c>
      <c r="E236" s="274">
        <f>'работа 2 пат'!E219</f>
        <v>18445</v>
      </c>
      <c r="F236" s="286">
        <f t="shared" si="25"/>
        <v>4851.0349999999999</v>
      </c>
      <c r="G236" s="183"/>
      <c r="H236" s="7"/>
      <c r="I236" s="7"/>
    </row>
    <row r="237" spans="1:9" ht="15.75" x14ac:dyDescent="0.25">
      <c r="A237" s="139" t="str">
        <f>'работа 2 пат'!A220</f>
        <v xml:space="preserve">Услуги охраны  </v>
      </c>
      <c r="B237" s="259" t="s">
        <v>22</v>
      </c>
      <c r="C237" s="242"/>
      <c r="D237" s="318">
        <f>12*A228</f>
        <v>3.1560000000000001</v>
      </c>
      <c r="E237" s="274">
        <f>'работа 2 пат'!E220</f>
        <v>8000</v>
      </c>
      <c r="F237" s="286">
        <f t="shared" si="25"/>
        <v>25248</v>
      </c>
      <c r="G237" s="183"/>
      <c r="H237" s="7"/>
      <c r="I237" s="7"/>
    </row>
    <row r="238" spans="1:9" ht="15.75" x14ac:dyDescent="0.25">
      <c r="A238" s="139" t="str">
        <f>'работа 2 пат'!A221</f>
        <v>Обслуживание систем охранных средств сигнализации (тревожная кнопка)</v>
      </c>
      <c r="B238" s="259" t="s">
        <v>22</v>
      </c>
      <c r="C238" s="242"/>
      <c r="D238" s="318">
        <f>12*A228</f>
        <v>3.1560000000000001</v>
      </c>
      <c r="E238" s="274">
        <f>'работа 2 пат'!E221</f>
        <v>5000</v>
      </c>
      <c r="F238" s="286">
        <f t="shared" si="25"/>
        <v>15780</v>
      </c>
      <c r="G238" s="183"/>
      <c r="H238" s="7"/>
      <c r="I238" s="7"/>
    </row>
    <row r="239" spans="1:9" ht="15.75" x14ac:dyDescent="0.25">
      <c r="A239" s="139" t="str">
        <f>'работа 2 пат'!A222</f>
        <v>Организация светового сопровождения мероприятия</v>
      </c>
      <c r="B239" s="259" t="s">
        <v>22</v>
      </c>
      <c r="C239" s="242"/>
      <c r="D239" s="318">
        <f>A228</f>
        <v>0.26300000000000001</v>
      </c>
      <c r="E239" s="274">
        <f>'работа 2 пат'!E222</f>
        <v>31500</v>
      </c>
      <c r="F239" s="286">
        <f t="shared" si="25"/>
        <v>8284.5</v>
      </c>
      <c r="G239" s="183"/>
      <c r="H239" s="7"/>
      <c r="I239" s="7"/>
    </row>
    <row r="240" spans="1:9" ht="30" x14ac:dyDescent="0.25">
      <c r="A240" s="139" t="str">
        <f>'работа 2 пат'!A223</f>
        <v xml:space="preserve">Заключение договора на прохождение предварительного мед осмотра сотрудниками </v>
      </c>
      <c r="B240" s="259" t="s">
        <v>22</v>
      </c>
      <c r="C240" s="242"/>
      <c r="D240" s="318">
        <f>6*A228</f>
        <v>1.5780000000000001</v>
      </c>
      <c r="E240" s="274">
        <f>'работа 2 пат'!E223</f>
        <v>5423.22</v>
      </c>
      <c r="F240" s="286">
        <f t="shared" si="25"/>
        <v>8557.8411599999999</v>
      </c>
      <c r="G240" s="183"/>
      <c r="H240" s="7"/>
      <c r="I240" s="7"/>
    </row>
    <row r="241" spans="1:9" ht="15.75" x14ac:dyDescent="0.25">
      <c r="A241" s="139" t="str">
        <f>'работа 2 пат'!A224</f>
        <v>Прохождение периодического мед осмотра водителем</v>
      </c>
      <c r="B241" s="259" t="s">
        <v>22</v>
      </c>
      <c r="C241" s="242"/>
      <c r="D241" s="318">
        <f>A228</f>
        <v>0.26300000000000001</v>
      </c>
      <c r="E241" s="274">
        <f>'работа 2 пат'!E224</f>
        <v>5000</v>
      </c>
      <c r="F241" s="286">
        <f t="shared" si="25"/>
        <v>1315</v>
      </c>
      <c r="G241" s="183"/>
      <c r="H241" s="7"/>
      <c r="I241" s="7"/>
    </row>
    <row r="242" spans="1:9" ht="15.75" x14ac:dyDescent="0.25">
      <c r="A242" s="139" t="str">
        <f>'работа 2 пат'!A225</f>
        <v>Страховая премия по полису ОСАГО за УАЗ</v>
      </c>
      <c r="B242" s="288" t="s">
        <v>22</v>
      </c>
      <c r="C242" s="286"/>
      <c r="D242" s="319">
        <f>A228</f>
        <v>0.26300000000000001</v>
      </c>
      <c r="E242" s="274">
        <f>'работа 2 пат'!E225</f>
        <v>3600.68</v>
      </c>
      <c r="F242" s="286">
        <f t="shared" si="25"/>
        <v>946.97883999999999</v>
      </c>
      <c r="G242" s="183"/>
      <c r="H242" s="7"/>
      <c r="I242" s="7"/>
    </row>
    <row r="243" spans="1:9" ht="15.75" x14ac:dyDescent="0.25">
      <c r="A243" s="139" t="str">
        <f>'работа 2 пат'!A226</f>
        <v>Microsoft Windows</v>
      </c>
      <c r="B243" s="288" t="s">
        <v>22</v>
      </c>
      <c r="C243" s="286"/>
      <c r="D243" s="319">
        <f>7*A228</f>
        <v>1.8410000000000002</v>
      </c>
      <c r="E243" s="274">
        <f>'работа 2 пат'!E226</f>
        <v>4400</v>
      </c>
      <c r="F243" s="286">
        <f t="shared" si="25"/>
        <v>8100.4000000000005</v>
      </c>
      <c r="G243" s="183"/>
      <c r="H243" s="7"/>
      <c r="I243" s="7"/>
    </row>
    <row r="244" spans="1:9" ht="15.75" x14ac:dyDescent="0.25">
      <c r="A244" s="139" t="str">
        <f>'работа 2 пат'!A227</f>
        <v>Microsoft Offise</v>
      </c>
      <c r="B244" s="288" t="s">
        <v>22</v>
      </c>
      <c r="C244" s="286"/>
      <c r="D244" s="318">
        <f>A228*2</f>
        <v>0.52600000000000002</v>
      </c>
      <c r="E244" s="274">
        <f>'работа 2 пат'!E227</f>
        <v>6630</v>
      </c>
      <c r="F244" s="286">
        <f t="shared" si="25"/>
        <v>3487.38</v>
      </c>
      <c r="G244" s="183"/>
      <c r="H244" s="7"/>
      <c r="I244" s="7"/>
    </row>
    <row r="245" spans="1:9" ht="15.75" x14ac:dyDescent="0.25">
      <c r="A245" s="139" t="str">
        <f>'работа 2 пат'!A228</f>
        <v>Dr Web Security</v>
      </c>
      <c r="B245" s="288" t="s">
        <v>22</v>
      </c>
      <c r="C245" s="286"/>
      <c r="D245" s="185">
        <f>A228</f>
        <v>0.26300000000000001</v>
      </c>
      <c r="E245" s="274">
        <f>'работа 2 пат'!E228</f>
        <v>1450</v>
      </c>
      <c r="F245" s="286">
        <f t="shared" si="25"/>
        <v>381.35</v>
      </c>
      <c r="G245" s="183"/>
      <c r="H245" s="7"/>
      <c r="I245" s="7"/>
    </row>
    <row r="246" spans="1:9" ht="15.75" x14ac:dyDescent="0.25">
      <c r="A246" s="139" t="str">
        <f>'работа 2 пат'!A229</f>
        <v>Dr Web Security Spase</v>
      </c>
      <c r="B246" s="288" t="s">
        <v>22</v>
      </c>
      <c r="C246" s="286"/>
      <c r="D246" s="185">
        <f>A228</f>
        <v>0.26300000000000001</v>
      </c>
      <c r="E246" s="274">
        <f>'работа 2 пат'!E229</f>
        <v>2750</v>
      </c>
      <c r="F246" s="286">
        <f t="shared" si="25"/>
        <v>723.25</v>
      </c>
      <c r="G246" s="183"/>
      <c r="H246" s="7"/>
      <c r="I246" s="7"/>
    </row>
    <row r="247" spans="1:9" ht="15.75" x14ac:dyDescent="0.25">
      <c r="A247" s="139" t="str">
        <f>'работа 3 добр'!A226</f>
        <v>Оплата гос пошлины</v>
      </c>
      <c r="B247" s="348" t="str">
        <f>'работа 3 добр'!B226</f>
        <v>ед</v>
      </c>
      <c r="C247" s="348"/>
      <c r="D247" s="185">
        <f>D246</f>
        <v>0.26300000000000001</v>
      </c>
      <c r="E247" s="274">
        <f>'работа 2 пат'!E230</f>
        <v>2000</v>
      </c>
      <c r="F247" s="348">
        <f t="shared" si="25"/>
        <v>526</v>
      </c>
      <c r="G247" s="183"/>
      <c r="H247" s="7"/>
      <c r="I247" s="7"/>
    </row>
    <row r="248" spans="1:9" ht="15.75" x14ac:dyDescent="0.25">
      <c r="A248" s="139" t="str">
        <f>'работа 3 добр'!A227</f>
        <v xml:space="preserve">Оплата за негативное воздействие </v>
      </c>
      <c r="B248" s="348" t="str">
        <f>'работа 3 добр'!B227</f>
        <v>ед</v>
      </c>
      <c r="C248" s="348"/>
      <c r="D248" s="185">
        <f>D247</f>
        <v>0.26300000000000001</v>
      </c>
      <c r="E248" s="274">
        <f>'работа 2 пат'!E231</f>
        <v>500</v>
      </c>
      <c r="F248" s="348">
        <f t="shared" si="25"/>
        <v>131.5</v>
      </c>
      <c r="G248" s="183"/>
      <c r="H248" s="7"/>
      <c r="I248" s="7"/>
    </row>
    <row r="249" spans="1:9" ht="15.75" x14ac:dyDescent="0.25">
      <c r="A249" s="418" t="str">
        <f>'работа 2 пат'!A232</f>
        <v>ПУГНП</v>
      </c>
      <c r="B249" s="419" t="s">
        <v>93</v>
      </c>
      <c r="C249" s="420"/>
      <c r="D249" s="421">
        <f>PRODUCT(Лист1!G3,$A$228)</f>
        <v>13.15</v>
      </c>
      <c r="E249" s="422">
        <f>Лист1!H3</f>
        <v>28</v>
      </c>
      <c r="F249" s="420">
        <f t="shared" si="25"/>
        <v>368.2</v>
      </c>
      <c r="G249" s="183"/>
      <c r="H249" s="7"/>
      <c r="I249" s="7"/>
    </row>
    <row r="250" spans="1:9" ht="15.75" x14ac:dyDescent="0.25">
      <c r="A250" s="139" t="str">
        <f>'работа 2 пат'!A233</f>
        <v>пакет майка</v>
      </c>
      <c r="B250" s="88" t="s">
        <v>93</v>
      </c>
      <c r="C250" s="286"/>
      <c r="D250" s="421">
        <f>PRODUCT(Лист1!G4,$A$228)</f>
        <v>0.26300000000000001</v>
      </c>
      <c r="E250" s="422">
        <f>Лист1!H4</f>
        <v>5</v>
      </c>
      <c r="F250" s="420">
        <f t="shared" si="25"/>
        <v>1.3149999999999999</v>
      </c>
      <c r="G250" s="183"/>
      <c r="H250" s="7"/>
      <c r="I250" s="7"/>
    </row>
    <row r="251" spans="1:9" ht="15.75" x14ac:dyDescent="0.25">
      <c r="A251" s="139" t="str">
        <f>'работа 2 пат'!A234</f>
        <v>розетка</v>
      </c>
      <c r="B251" s="88" t="s">
        <v>93</v>
      </c>
      <c r="C251" s="286"/>
      <c r="D251" s="421">
        <f>PRODUCT(Лист1!G5,$A$228)</f>
        <v>1.3149999999999999</v>
      </c>
      <c r="E251" s="422">
        <f>Лист1!H5</f>
        <v>163</v>
      </c>
      <c r="F251" s="420">
        <f t="shared" si="25"/>
        <v>214.345</v>
      </c>
      <c r="G251" s="183"/>
      <c r="H251" s="7"/>
      <c r="I251" s="7"/>
    </row>
    <row r="252" spans="1:9" ht="15.75" x14ac:dyDescent="0.25">
      <c r="A252" s="139" t="str">
        <f>'работа 2 пат'!A236</f>
        <v>розетка "Пралеска"</v>
      </c>
      <c r="B252" s="88" t="s">
        <v>93</v>
      </c>
      <c r="C252" s="242"/>
      <c r="D252" s="421">
        <f>PRODUCT(Лист1!G6,$A$228)</f>
        <v>1.3149999999999999</v>
      </c>
      <c r="E252" s="422">
        <f>Лист1!H6</f>
        <v>180</v>
      </c>
      <c r="F252" s="420">
        <f t="shared" si="25"/>
        <v>236.7</v>
      </c>
      <c r="G252" s="183"/>
      <c r="H252" s="7"/>
      <c r="I252" s="7"/>
    </row>
    <row r="253" spans="1:9" ht="15.75" x14ac:dyDescent="0.25">
      <c r="A253" s="139" t="str">
        <f>'работа 3 добр'!A231</f>
        <v>Вилка евро</v>
      </c>
      <c r="B253" s="88" t="s">
        <v>93</v>
      </c>
      <c r="C253" s="242"/>
      <c r="D253" s="421">
        <f>PRODUCT(Лист1!G7,$A$228)</f>
        <v>0.78900000000000003</v>
      </c>
      <c r="E253" s="422">
        <f>Лист1!H7</f>
        <v>379</v>
      </c>
      <c r="F253" s="420">
        <f t="shared" si="25"/>
        <v>299.03100000000001</v>
      </c>
      <c r="G253" s="183"/>
      <c r="H253" s="7"/>
      <c r="I253" s="7"/>
    </row>
    <row r="254" spans="1:9" ht="15.75" x14ac:dyDescent="0.25">
      <c r="A254" s="139" t="str">
        <f>'работа 2 пат'!A237</f>
        <v>лампа "Онлайт"</v>
      </c>
      <c r="B254" s="88" t="s">
        <v>93</v>
      </c>
      <c r="C254" s="242"/>
      <c r="D254" s="421">
        <f>PRODUCT(Лист1!G8,$A$228)</f>
        <v>6.8380000000000001</v>
      </c>
      <c r="E254" s="422">
        <f>Лист1!H8</f>
        <v>76</v>
      </c>
      <c r="F254" s="420">
        <f t="shared" si="25"/>
        <v>519.68799999999999</v>
      </c>
      <c r="G254" s="183"/>
      <c r="H254" s="7"/>
      <c r="I254" s="7"/>
    </row>
    <row r="255" spans="1:9" ht="15.75" x14ac:dyDescent="0.25">
      <c r="A255" s="139" t="str">
        <f>'работа 2 пат'!A238</f>
        <v>пугнп</v>
      </c>
      <c r="B255" s="88" t="s">
        <v>93</v>
      </c>
      <c r="C255" s="242"/>
      <c r="D255" s="421">
        <f>PRODUCT(Лист1!G9,$A$228)</f>
        <v>1.8410000000000002</v>
      </c>
      <c r="E255" s="422">
        <f>Лист1!H9</f>
        <v>28</v>
      </c>
      <c r="F255" s="420">
        <f t="shared" si="25"/>
        <v>51.548000000000002</v>
      </c>
      <c r="G255" s="183"/>
      <c r="H255" s="7"/>
      <c r="I255" s="7"/>
    </row>
    <row r="256" spans="1:9" ht="15.75" x14ac:dyDescent="0.25">
      <c r="A256" s="139" t="str">
        <f>'работа 2 пат'!A239</f>
        <v>светильник точечный</v>
      </c>
      <c r="B256" s="88" t="s">
        <v>93</v>
      </c>
      <c r="C256" s="242"/>
      <c r="D256" s="421">
        <f>PRODUCT(Лист1!G10,$A$228)</f>
        <v>2.63</v>
      </c>
      <c r="E256" s="422">
        <f>Лист1!H10</f>
        <v>68</v>
      </c>
      <c r="F256" s="420">
        <f t="shared" si="25"/>
        <v>178.84</v>
      </c>
      <c r="G256" s="183"/>
      <c r="H256" s="7"/>
      <c r="I256" s="7"/>
    </row>
    <row r="257" spans="1:9" ht="15.75" x14ac:dyDescent="0.25">
      <c r="A257" s="139" t="str">
        <f>'работа 2 пат'!A240</f>
        <v>светильник точечный</v>
      </c>
      <c r="B257" s="88" t="s">
        <v>93</v>
      </c>
      <c r="C257" s="242"/>
      <c r="D257" s="421">
        <f>PRODUCT(Лист1!G11,$A$228)</f>
        <v>2.63</v>
      </c>
      <c r="E257" s="422">
        <f>Лист1!H11</f>
        <v>105</v>
      </c>
      <c r="F257" s="420">
        <f t="shared" si="25"/>
        <v>276.14999999999998</v>
      </c>
      <c r="G257" s="183"/>
      <c r="H257" s="7"/>
      <c r="I257" s="7"/>
    </row>
    <row r="258" spans="1:9" ht="15.75" x14ac:dyDescent="0.25">
      <c r="A258" s="139" t="str">
        <f>'работа 2 пат'!A241</f>
        <v>светильник точечный</v>
      </c>
      <c r="B258" s="88" t="s">
        <v>93</v>
      </c>
      <c r="C258" s="242"/>
      <c r="D258" s="421">
        <f>PRODUCT(Лист1!G12,$A$228)</f>
        <v>1.5780000000000001</v>
      </c>
      <c r="E258" s="422">
        <f>Лист1!H12</f>
        <v>93</v>
      </c>
      <c r="F258" s="420">
        <f t="shared" si="25"/>
        <v>146.75400000000002</v>
      </c>
      <c r="G258" s="183"/>
      <c r="H258" s="7"/>
      <c r="I258" s="7"/>
    </row>
    <row r="259" spans="1:9" ht="15.75" x14ac:dyDescent="0.25">
      <c r="A259" s="139" t="str">
        <f>'работа 2 пат'!A242</f>
        <v>эмаль аэрозоль</v>
      </c>
      <c r="B259" s="88" t="s">
        <v>93</v>
      </c>
      <c r="C259" s="242"/>
      <c r="D259" s="421">
        <f>PRODUCT(Лист1!G13,$A$228)</f>
        <v>0.52600000000000002</v>
      </c>
      <c r="E259" s="422">
        <f>Лист1!H13</f>
        <v>220</v>
      </c>
      <c r="F259" s="420">
        <f t="shared" si="25"/>
        <v>115.72</v>
      </c>
      <c r="G259" s="183"/>
      <c r="H259" s="7"/>
      <c r="I259" s="7"/>
    </row>
    <row r="260" spans="1:9" ht="15.75" x14ac:dyDescent="0.25">
      <c r="A260" s="139" t="str">
        <f>'работа 2 пат'!A243</f>
        <v>пила сегментная</v>
      </c>
      <c r="B260" s="88" t="s">
        <v>93</v>
      </c>
      <c r="C260" s="242"/>
      <c r="D260" s="421">
        <f>PRODUCT(Лист1!G14,$A$228)</f>
        <v>0.26300000000000001</v>
      </c>
      <c r="E260" s="422">
        <f>Лист1!H14</f>
        <v>543</v>
      </c>
      <c r="F260" s="420">
        <f t="shared" si="25"/>
        <v>142.809</v>
      </c>
      <c r="G260" s="183"/>
      <c r="H260" s="7"/>
      <c r="I260" s="7"/>
    </row>
    <row r="261" spans="1:9" ht="15.75" x14ac:dyDescent="0.25">
      <c r="A261" s="139" t="str">
        <f>'работа 2 пат'!A244</f>
        <v>комплект крепежей для батареи</v>
      </c>
      <c r="B261" s="88" t="s">
        <v>93</v>
      </c>
      <c r="C261" s="242"/>
      <c r="D261" s="421">
        <f>PRODUCT(Лист1!G15,$A$228)</f>
        <v>0.78900000000000003</v>
      </c>
      <c r="E261" s="422">
        <f>Лист1!H15</f>
        <v>270</v>
      </c>
      <c r="F261" s="420">
        <f t="shared" si="25"/>
        <v>213.03</v>
      </c>
      <c r="G261" s="183"/>
      <c r="H261" s="7"/>
      <c r="I261" s="7"/>
    </row>
    <row r="262" spans="1:9" ht="15.75" x14ac:dyDescent="0.25">
      <c r="A262" s="139" t="str">
        <f>'работа 2 пат'!A245</f>
        <v>набор для радиатора</v>
      </c>
      <c r="B262" s="88" t="s">
        <v>93</v>
      </c>
      <c r="C262" s="242"/>
      <c r="D262" s="421">
        <f>PRODUCT(Лист1!G16,$A$228)</f>
        <v>0.78900000000000003</v>
      </c>
      <c r="E262" s="422">
        <f>Лист1!H16</f>
        <v>235</v>
      </c>
      <c r="F262" s="420">
        <f t="shared" si="25"/>
        <v>185.41500000000002</v>
      </c>
      <c r="G262" s="183"/>
      <c r="H262" s="7"/>
      <c r="I262" s="7"/>
    </row>
    <row r="263" spans="1:9" ht="15.75" x14ac:dyDescent="0.25">
      <c r="A263" s="139" t="str">
        <f>'работа 2 пат'!A246</f>
        <v>лампа "Онлайт"</v>
      </c>
      <c r="B263" s="88" t="s">
        <v>93</v>
      </c>
      <c r="C263" s="242"/>
      <c r="D263" s="421">
        <f>PRODUCT(Лист1!G17,$A$228)</f>
        <v>1.3149999999999999</v>
      </c>
      <c r="E263" s="422">
        <f>Лист1!H17</f>
        <v>165</v>
      </c>
      <c r="F263" s="420">
        <f t="shared" si="25"/>
        <v>216.97499999999999</v>
      </c>
      <c r="G263" s="183"/>
      <c r="H263" s="7"/>
      <c r="I263" s="7"/>
    </row>
    <row r="264" spans="1:9" ht="15.75" x14ac:dyDescent="0.25">
      <c r="A264" s="139" t="str">
        <f>'работа 2 пат'!A247</f>
        <v>Прожектор светодиодный</v>
      </c>
      <c r="B264" s="88" t="s">
        <v>93</v>
      </c>
      <c r="C264" s="242"/>
      <c r="D264" s="421">
        <f>PRODUCT(Лист1!G18,$A$228)</f>
        <v>0.52600000000000002</v>
      </c>
      <c r="E264" s="422">
        <f>Лист1!H18</f>
        <v>280</v>
      </c>
      <c r="F264" s="420">
        <f t="shared" si="25"/>
        <v>147.28</v>
      </c>
      <c r="G264" s="183"/>
      <c r="H264" s="7"/>
      <c r="I264" s="7"/>
    </row>
    <row r="265" spans="1:9" ht="15.75" x14ac:dyDescent="0.25">
      <c r="A265" s="139" t="str">
        <f>'работа 2 пат'!A248</f>
        <v>скотч 48 мм</v>
      </c>
      <c r="B265" s="88" t="s">
        <v>93</v>
      </c>
      <c r="C265" s="242"/>
      <c r="D265" s="421">
        <f>PRODUCT(Лист1!G19,$A$228)</f>
        <v>3.1560000000000001</v>
      </c>
      <c r="E265" s="422">
        <f>Лист1!H19</f>
        <v>120</v>
      </c>
      <c r="F265" s="420">
        <f t="shared" si="25"/>
        <v>378.72</v>
      </c>
      <c r="G265" s="183"/>
      <c r="H265" s="7"/>
      <c r="I265" s="7"/>
    </row>
    <row r="266" spans="1:9" ht="15.75" x14ac:dyDescent="0.25">
      <c r="A266" s="139" t="str">
        <f>'работа 2 пат'!A249</f>
        <v>скотч армированный</v>
      </c>
      <c r="B266" s="88" t="s">
        <v>93</v>
      </c>
      <c r="C266" s="242"/>
      <c r="D266" s="421">
        <f>PRODUCT(Лист1!G20,$A$228)</f>
        <v>0.52600000000000002</v>
      </c>
      <c r="E266" s="422">
        <f>Лист1!H20</f>
        <v>77</v>
      </c>
      <c r="F266" s="420">
        <f t="shared" si="25"/>
        <v>40.502000000000002</v>
      </c>
      <c r="G266" s="183"/>
      <c r="H266" s="7"/>
      <c r="I266" s="7"/>
    </row>
    <row r="267" spans="1:9" ht="15.75" x14ac:dyDescent="0.25">
      <c r="A267" s="139" t="str">
        <f>'работа 2 пат'!A250</f>
        <v>эмаль аэрозоль металлик</v>
      </c>
      <c r="B267" s="88" t="s">
        <v>93</v>
      </c>
      <c r="C267" s="242"/>
      <c r="D267" s="421">
        <f>PRODUCT(Лист1!G21,$A$228)</f>
        <v>0.26300000000000001</v>
      </c>
      <c r="E267" s="422">
        <f>Лист1!H21</f>
        <v>220</v>
      </c>
      <c r="F267" s="420">
        <f t="shared" si="25"/>
        <v>57.86</v>
      </c>
      <c r="G267" s="183"/>
      <c r="H267" s="7"/>
      <c r="I267" s="7"/>
    </row>
    <row r="268" spans="1:9" ht="15.75" x14ac:dyDescent="0.25">
      <c r="A268" s="139" t="str">
        <f>'работа 2 пат'!A251</f>
        <v>эмаль аэрозоль коричн</v>
      </c>
      <c r="B268" s="88" t="s">
        <v>93</v>
      </c>
      <c r="C268" s="242"/>
      <c r="D268" s="421">
        <f>PRODUCT(Лист1!G22,$A$228)</f>
        <v>0.26300000000000001</v>
      </c>
      <c r="E268" s="422">
        <f>Лист1!H22</f>
        <v>193</v>
      </c>
      <c r="F268" s="420">
        <f t="shared" si="25"/>
        <v>50.759</v>
      </c>
      <c r="G268" s="183"/>
      <c r="H268" s="7"/>
      <c r="I268" s="7"/>
    </row>
    <row r="269" spans="1:9" ht="15.75" x14ac:dyDescent="0.25">
      <c r="A269" s="139" t="str">
        <f>'работа 2 пат'!A252</f>
        <v>эмаль разн цвет</v>
      </c>
      <c r="B269" s="88" t="s">
        <v>93</v>
      </c>
      <c r="C269" s="242"/>
      <c r="D269" s="421">
        <f>PRODUCT(Лист1!G23,$A$228)</f>
        <v>1.052</v>
      </c>
      <c r="E269" s="422">
        <f>Лист1!H23</f>
        <v>270</v>
      </c>
      <c r="F269" s="420">
        <f t="shared" si="25"/>
        <v>284.04000000000002</v>
      </c>
      <c r="G269" s="183"/>
      <c r="H269" s="7"/>
      <c r="I269" s="7"/>
    </row>
    <row r="270" spans="1:9" ht="15.75" x14ac:dyDescent="0.25">
      <c r="A270" s="139" t="str">
        <f>'работа 2 пат'!A253</f>
        <v>скоба</v>
      </c>
      <c r="B270" s="88" t="s">
        <v>93</v>
      </c>
      <c r="C270" s="242"/>
      <c r="D270" s="421">
        <f>PRODUCT(Лист1!G24,$A$228)</f>
        <v>1.3149999999999999</v>
      </c>
      <c r="E270" s="422">
        <f>Лист1!H24</f>
        <v>54</v>
      </c>
      <c r="F270" s="420">
        <f t="shared" si="25"/>
        <v>71.009999999999991</v>
      </c>
      <c r="G270" s="183"/>
      <c r="H270" s="7"/>
      <c r="I270" s="7"/>
    </row>
    <row r="271" spans="1:9" ht="15.75" x14ac:dyDescent="0.25">
      <c r="A271" s="139" t="str">
        <f>'работа 2 пат'!A254</f>
        <v>стяжка для провода</v>
      </c>
      <c r="B271" s="88" t="s">
        <v>93</v>
      </c>
      <c r="C271" s="242"/>
      <c r="D271" s="421">
        <f>PRODUCT(Лист1!G25,$A$228)</f>
        <v>0.52600000000000002</v>
      </c>
      <c r="E271" s="422">
        <f>Лист1!H25</f>
        <v>223</v>
      </c>
      <c r="F271" s="420">
        <f t="shared" si="25"/>
        <v>117.298</v>
      </c>
      <c r="G271" s="183"/>
      <c r="H271" s="7"/>
      <c r="I271" s="7"/>
    </row>
    <row r="272" spans="1:9" ht="15.75" x14ac:dyDescent="0.25">
      <c r="A272" s="139" t="str">
        <f>'работа 2 пат'!A255</f>
        <v>стяжка для провода</v>
      </c>
      <c r="B272" s="88" t="s">
        <v>93</v>
      </c>
      <c r="C272" s="242"/>
      <c r="D272" s="421">
        <f>PRODUCT(Лист1!G26,$A$228)</f>
        <v>0.52600000000000002</v>
      </c>
      <c r="E272" s="422">
        <f>Лист1!H26</f>
        <v>90</v>
      </c>
      <c r="F272" s="420">
        <f t="shared" si="25"/>
        <v>47.34</v>
      </c>
      <c r="G272" s="183"/>
      <c r="H272" s="7"/>
      <c r="I272" s="7"/>
    </row>
    <row r="273" spans="1:12" ht="15.75" x14ac:dyDescent="0.25">
      <c r="A273" s="139" t="str">
        <f>'работа 2 пат'!A256</f>
        <v>дюбель</v>
      </c>
      <c r="B273" s="88" t="s">
        <v>93</v>
      </c>
      <c r="C273" s="242"/>
      <c r="D273" s="421">
        <f>PRODUCT(Лист1!G27,$A$228)</f>
        <v>52.337000000000003</v>
      </c>
      <c r="E273" s="422">
        <f>Лист1!H27</f>
        <v>1</v>
      </c>
      <c r="F273" s="420">
        <f t="shared" si="25"/>
        <v>52.337000000000003</v>
      </c>
      <c r="G273" s="183"/>
      <c r="H273" s="7"/>
      <c r="I273" s="7"/>
    </row>
    <row r="274" spans="1:12" ht="15.75" x14ac:dyDescent="0.25">
      <c r="A274" s="139" t="str">
        <f>'работа 2 пат'!A257</f>
        <v>бокорезы</v>
      </c>
      <c r="B274" s="88" t="s">
        <v>93</v>
      </c>
      <c r="C274" s="242"/>
      <c r="D274" s="421">
        <f>PRODUCT(Лист1!G28,$A$228)</f>
        <v>0.26300000000000001</v>
      </c>
      <c r="E274" s="422">
        <f>Лист1!H28</f>
        <v>371</v>
      </c>
      <c r="F274" s="420">
        <f t="shared" si="25"/>
        <v>97.573000000000008</v>
      </c>
      <c r="G274" s="183"/>
      <c r="H274" s="7"/>
      <c r="I274" s="7"/>
    </row>
    <row r="275" spans="1:12" ht="15.75" x14ac:dyDescent="0.25">
      <c r="A275" s="139" t="str">
        <f>'работа 2 пат'!A258</f>
        <v>плоскогубцы</v>
      </c>
      <c r="B275" s="88" t="s">
        <v>93</v>
      </c>
      <c r="C275" s="242"/>
      <c r="D275" s="421">
        <f>PRODUCT(Лист1!G29,$A$228)</f>
        <v>0.26300000000000001</v>
      </c>
      <c r="E275" s="422">
        <f>Лист1!H29</f>
        <v>329</v>
      </c>
      <c r="F275" s="420">
        <f t="shared" si="25"/>
        <v>86.527000000000001</v>
      </c>
      <c r="G275" s="183"/>
      <c r="H275" s="7"/>
      <c r="I275" s="7"/>
    </row>
    <row r="276" spans="1:12" ht="15.75" x14ac:dyDescent="0.25">
      <c r="A276" s="139" t="str">
        <f>'работа 2 пат'!A259</f>
        <v>бита</v>
      </c>
      <c r="B276" s="88" t="s">
        <v>93</v>
      </c>
      <c r="C276" s="242"/>
      <c r="D276" s="421">
        <f>PRODUCT(Лист1!G30,$A$228)</f>
        <v>0.26300000000000001</v>
      </c>
      <c r="E276" s="422">
        <f>Лист1!H30</f>
        <v>101</v>
      </c>
      <c r="F276" s="420">
        <f t="shared" si="25"/>
        <v>26.563000000000002</v>
      </c>
      <c r="G276" s="183"/>
      <c r="H276" s="7"/>
      <c r="I276" s="7"/>
    </row>
    <row r="277" spans="1:12" ht="15.75" x14ac:dyDescent="0.25">
      <c r="A277" s="139" t="str">
        <f>'работа 2 пат'!A260</f>
        <v>бита</v>
      </c>
      <c r="B277" s="88" t="s">
        <v>93</v>
      </c>
      <c r="C277" s="242"/>
      <c r="D277" s="421">
        <f>PRODUCT(Лист1!G31,$A$228)</f>
        <v>0.26300000000000001</v>
      </c>
      <c r="E277" s="422">
        <f>Лист1!H31</f>
        <v>61</v>
      </c>
      <c r="F277" s="420">
        <f t="shared" si="25"/>
        <v>16.042999999999999</v>
      </c>
      <c r="G277" s="183"/>
      <c r="H277" s="7"/>
      <c r="I277" s="7"/>
    </row>
    <row r="278" spans="1:12" ht="15.75" x14ac:dyDescent="0.25">
      <c r="A278" s="139" t="str">
        <f>'работа 2 пат'!A261</f>
        <v>угольник</v>
      </c>
      <c r="B278" s="88" t="s">
        <v>93</v>
      </c>
      <c r="C278" s="88">
        <v>1</v>
      </c>
      <c r="D278" s="421">
        <f>PRODUCT(Лист1!G32,$A$228)</f>
        <v>0.26300000000000001</v>
      </c>
      <c r="E278" s="422">
        <f>Лист1!H32</f>
        <v>582</v>
      </c>
      <c r="F278" s="420">
        <f t="shared" si="25"/>
        <v>153.066</v>
      </c>
      <c r="G278" s="183"/>
      <c r="H278" s="7"/>
      <c r="I278" s="7"/>
      <c r="J278" s="155"/>
      <c r="K278" s="126"/>
      <c r="L278" s="156"/>
    </row>
    <row r="279" spans="1:12" ht="15.75" x14ac:dyDescent="0.25">
      <c r="A279" s="139" t="str">
        <f>'работа 2 пат'!A262</f>
        <v>угольник</v>
      </c>
      <c r="B279" s="88" t="s">
        <v>93</v>
      </c>
      <c r="C279" s="88">
        <v>4</v>
      </c>
      <c r="D279" s="421">
        <f>PRODUCT(Лист1!G33,$A$228)</f>
        <v>0.26300000000000001</v>
      </c>
      <c r="E279" s="422">
        <f>Лист1!H33</f>
        <v>449</v>
      </c>
      <c r="F279" s="420">
        <f t="shared" si="25"/>
        <v>118.087</v>
      </c>
      <c r="G279" s="183"/>
      <c r="H279" s="7"/>
      <c r="I279" s="7"/>
      <c r="J279" s="155"/>
      <c r="K279" s="126"/>
      <c r="L279" s="156"/>
    </row>
    <row r="280" spans="1:12" ht="15.75" x14ac:dyDescent="0.25">
      <c r="A280" s="139" t="str">
        <f>'работа 2 пат'!A263</f>
        <v>штангенциркуль</v>
      </c>
      <c r="B280" s="88" t="s">
        <v>93</v>
      </c>
      <c r="C280" s="88">
        <v>4</v>
      </c>
      <c r="D280" s="421">
        <f>PRODUCT(Лист1!G34,$A$228)</f>
        <v>0.26300000000000001</v>
      </c>
      <c r="E280" s="422">
        <f>Лист1!H34</f>
        <v>800</v>
      </c>
      <c r="F280" s="420">
        <f t="shared" si="25"/>
        <v>210.4</v>
      </c>
      <c r="G280" s="183"/>
      <c r="H280" s="7"/>
      <c r="I280" s="7"/>
      <c r="J280" s="155"/>
      <c r="K280" s="126"/>
      <c r="L280" s="156"/>
    </row>
    <row r="281" spans="1:12" ht="15.75" x14ac:dyDescent="0.25">
      <c r="A281" s="139" t="str">
        <f>'работа 2 пат'!A264</f>
        <v>пугнп 2*1,5</v>
      </c>
      <c r="B281" s="88" t="s">
        <v>93</v>
      </c>
      <c r="C281" s="88">
        <v>6</v>
      </c>
      <c r="D281" s="421">
        <f>PRODUCT(Лист1!G35,$A$228)</f>
        <v>52.6</v>
      </c>
      <c r="E281" s="422">
        <f>Лист1!H35</f>
        <v>28</v>
      </c>
      <c r="F281" s="420">
        <f t="shared" si="25"/>
        <v>1472.8</v>
      </c>
      <c r="G281" s="183"/>
      <c r="H281" s="7"/>
      <c r="I281" s="7"/>
      <c r="J281" s="155"/>
      <c r="K281" s="126"/>
      <c r="L281" s="156"/>
    </row>
    <row r="282" spans="1:12" ht="15.75" x14ac:dyDescent="0.25">
      <c r="A282" s="139" t="str">
        <f>'работа 2 пат'!A265</f>
        <v>пугнп 2*2,5</v>
      </c>
      <c r="B282" s="88" t="s">
        <v>93</v>
      </c>
      <c r="C282" s="88">
        <v>5</v>
      </c>
      <c r="D282" s="421">
        <f>PRODUCT(Лист1!G36,$A$228)</f>
        <v>52.6</v>
      </c>
      <c r="E282" s="422">
        <f>Лист1!H36</f>
        <v>43</v>
      </c>
      <c r="F282" s="420">
        <f t="shared" si="25"/>
        <v>2261.8000000000002</v>
      </c>
      <c r="G282" s="183"/>
      <c r="H282" s="7"/>
      <c r="I282" s="7"/>
      <c r="J282" s="155"/>
      <c r="K282" s="126"/>
      <c r="L282" s="156"/>
    </row>
    <row r="283" spans="1:12" ht="15.75" x14ac:dyDescent="0.25">
      <c r="A283" s="139" t="str">
        <f>'работа 2 пат'!A266</f>
        <v>зажимы</v>
      </c>
      <c r="B283" s="88" t="s">
        <v>93</v>
      </c>
      <c r="C283" s="88">
        <v>1</v>
      </c>
      <c r="D283" s="421">
        <f>PRODUCT(Лист1!G37,$A$228)</f>
        <v>1.3149999999999999</v>
      </c>
      <c r="E283" s="422">
        <f>Лист1!H37</f>
        <v>50</v>
      </c>
      <c r="F283" s="420">
        <f t="shared" si="25"/>
        <v>65.75</v>
      </c>
      <c r="G283" s="183"/>
      <c r="H283" s="7"/>
      <c r="I283" s="7"/>
      <c r="J283" s="155"/>
      <c r="K283" s="126"/>
      <c r="L283" s="156"/>
    </row>
    <row r="284" spans="1:12" ht="15.75" x14ac:dyDescent="0.25">
      <c r="A284" s="139" t="str">
        <f>'работа 2 пат'!A267</f>
        <v>коробка установочная</v>
      </c>
      <c r="B284" s="88" t="s">
        <v>93</v>
      </c>
      <c r="C284" s="88">
        <v>2</v>
      </c>
      <c r="D284" s="421">
        <f>PRODUCT(Лист1!G38,$A$228)</f>
        <v>2.63</v>
      </c>
      <c r="E284" s="422">
        <f>Лист1!H38</f>
        <v>15</v>
      </c>
      <c r="F284" s="420">
        <f t="shared" si="25"/>
        <v>39.449999999999996</v>
      </c>
      <c r="G284" s="183"/>
      <c r="H284" s="7"/>
      <c r="I284" s="7"/>
      <c r="J284" s="155"/>
      <c r="K284" s="126"/>
      <c r="L284" s="156"/>
    </row>
    <row r="285" spans="1:12" ht="15.75" x14ac:dyDescent="0.25">
      <c r="A285" s="139" t="str">
        <f>'работа 2 пат'!A268</f>
        <v>розетка</v>
      </c>
      <c r="B285" s="88" t="s">
        <v>93</v>
      </c>
      <c r="C285" s="88">
        <v>2</v>
      </c>
      <c r="D285" s="421">
        <f>PRODUCT(Лист1!G39,$A$228)</f>
        <v>2.63</v>
      </c>
      <c r="E285" s="422">
        <f>Лист1!H39</f>
        <v>219</v>
      </c>
      <c r="F285" s="420">
        <f t="shared" si="25"/>
        <v>575.97</v>
      </c>
      <c r="G285" s="183"/>
      <c r="H285" s="7"/>
      <c r="I285" s="7"/>
      <c r="J285" s="155"/>
      <c r="K285" s="126"/>
      <c r="L285" s="156"/>
    </row>
    <row r="286" spans="1:12" ht="15.75" x14ac:dyDescent="0.25">
      <c r="A286" s="139" t="str">
        <f>'работа 2 пат'!A269</f>
        <v>розетка</v>
      </c>
      <c r="B286" s="88" t="s">
        <v>93</v>
      </c>
      <c r="C286" s="88">
        <v>3</v>
      </c>
      <c r="D286" s="421">
        <f>PRODUCT(Лист1!G40,$A$228)</f>
        <v>1.3149999999999999</v>
      </c>
      <c r="E286" s="422">
        <f>Лист1!H40</f>
        <v>163</v>
      </c>
      <c r="F286" s="420">
        <f t="shared" si="25"/>
        <v>214.345</v>
      </c>
      <c r="G286" s="183"/>
      <c r="H286" s="7"/>
      <c r="I286" s="7"/>
      <c r="J286" s="155"/>
      <c r="K286" s="126"/>
      <c r="L286" s="156"/>
    </row>
    <row r="287" spans="1:12" ht="15.75" x14ac:dyDescent="0.25">
      <c r="A287" s="139" t="str">
        <f>'работа 2 пат'!A270</f>
        <v>вилка прямая</v>
      </c>
      <c r="B287" s="88" t="s">
        <v>93</v>
      </c>
      <c r="C287" s="88">
        <v>4</v>
      </c>
      <c r="D287" s="421">
        <f>PRODUCT(Лист1!G41,$A$228)</f>
        <v>0.26300000000000001</v>
      </c>
      <c r="E287" s="422">
        <f>Лист1!H41</f>
        <v>180</v>
      </c>
      <c r="F287" s="420">
        <f t="shared" si="25"/>
        <v>47.34</v>
      </c>
      <c r="G287" s="183"/>
      <c r="H287" s="7"/>
      <c r="I287" s="7"/>
      <c r="J287" s="155"/>
      <c r="K287" s="126"/>
      <c r="L287" s="156"/>
    </row>
    <row r="288" spans="1:12" ht="13.9" customHeight="1" x14ac:dyDescent="0.25">
      <c r="A288" s="139" t="str">
        <f>'работа 2 пат'!A271</f>
        <v>вилка белая</v>
      </c>
      <c r="B288" s="88" t="s">
        <v>93</v>
      </c>
      <c r="C288" s="88">
        <v>5</v>
      </c>
      <c r="D288" s="421">
        <f>PRODUCT(Лист1!G42,$A$228)</f>
        <v>1.052</v>
      </c>
      <c r="E288" s="422">
        <f>Лист1!H42</f>
        <v>90</v>
      </c>
      <c r="F288" s="420">
        <f t="shared" si="25"/>
        <v>94.68</v>
      </c>
      <c r="G288" s="183"/>
      <c r="H288" s="7"/>
      <c r="I288" s="7"/>
      <c r="J288" s="155"/>
      <c r="K288" s="126"/>
      <c r="L288" s="156"/>
    </row>
    <row r="289" spans="1:12" ht="19.899999999999999" customHeight="1" x14ac:dyDescent="0.25">
      <c r="A289" s="139" t="str">
        <f>'работа 2 пат'!A272</f>
        <v>саморез 3,5*51</v>
      </c>
      <c r="B289" s="88" t="s">
        <v>93</v>
      </c>
      <c r="C289" s="88">
        <v>6</v>
      </c>
      <c r="D289" s="421">
        <f>PRODUCT(Лист1!G43,$A$228)</f>
        <v>191.99</v>
      </c>
      <c r="E289" s="422">
        <f>Лист1!H43</f>
        <v>1</v>
      </c>
      <c r="F289" s="420">
        <f t="shared" si="25"/>
        <v>191.99</v>
      </c>
      <c r="G289" s="183"/>
      <c r="H289" s="7"/>
      <c r="I289" s="7"/>
      <c r="J289" s="155"/>
      <c r="K289" s="126"/>
      <c r="L289" s="156"/>
    </row>
    <row r="290" spans="1:12" ht="16.899999999999999" customHeight="1" x14ac:dyDescent="0.25">
      <c r="A290" s="139" t="str">
        <f>'работа 2 пат'!A273</f>
        <v>саморез 4,2*70</v>
      </c>
      <c r="B290" s="88" t="s">
        <v>93</v>
      </c>
      <c r="C290" s="88">
        <v>7</v>
      </c>
      <c r="D290" s="421">
        <f>PRODUCT(Лист1!G44,$A$228)</f>
        <v>236.70000000000002</v>
      </c>
      <c r="E290" s="422">
        <f>Лист1!H44</f>
        <v>1.5</v>
      </c>
      <c r="F290" s="420">
        <f t="shared" si="25"/>
        <v>355.05</v>
      </c>
      <c r="G290" s="183"/>
      <c r="H290" s="7"/>
      <c r="I290" s="7"/>
      <c r="J290" s="155"/>
      <c r="K290" s="126"/>
      <c r="L290" s="156"/>
    </row>
    <row r="291" spans="1:12" ht="15.75" x14ac:dyDescent="0.25">
      <c r="A291" s="139" t="str">
        <f>'работа 2 пат'!A274</f>
        <v>набор пилок</v>
      </c>
      <c r="B291" s="88" t="s">
        <v>93</v>
      </c>
      <c r="C291" s="88">
        <v>8</v>
      </c>
      <c r="D291" s="421">
        <f>PRODUCT(Лист1!G45,$A$228)</f>
        <v>0.78900000000000003</v>
      </c>
      <c r="E291" s="422">
        <f>Лист1!H45</f>
        <v>200</v>
      </c>
      <c r="F291" s="420">
        <f t="shared" si="25"/>
        <v>157.80000000000001</v>
      </c>
      <c r="G291" s="183"/>
      <c r="H291" s="7"/>
      <c r="I291" s="7"/>
      <c r="J291" s="155"/>
      <c r="K291" s="126"/>
      <c r="L291" s="156"/>
    </row>
    <row r="292" spans="1:12" ht="15.75" x14ac:dyDescent="0.25">
      <c r="A292" s="139" t="str">
        <f>'работа 2 пат'!A275</f>
        <v>комплект радиатора</v>
      </c>
      <c r="B292" s="88" t="s">
        <v>93</v>
      </c>
      <c r="C292" s="88">
        <v>9</v>
      </c>
      <c r="D292" s="421">
        <f>PRODUCT(Лист1!G46,$A$228)</f>
        <v>2.63</v>
      </c>
      <c r="E292" s="422">
        <f>Лист1!H46</f>
        <v>279</v>
      </c>
      <c r="F292" s="420">
        <f t="shared" si="25"/>
        <v>733.77</v>
      </c>
      <c r="G292" s="183"/>
      <c r="H292" s="7"/>
      <c r="I292" s="7"/>
      <c r="J292" s="155"/>
      <c r="K292" s="126"/>
      <c r="L292" s="156"/>
    </row>
    <row r="293" spans="1:12" ht="15.75" x14ac:dyDescent="0.25">
      <c r="A293" s="139" t="str">
        <f>'работа 2 пат'!A276</f>
        <v>кран шаровый</v>
      </c>
      <c r="B293" s="88" t="s">
        <v>93</v>
      </c>
      <c r="C293" s="88">
        <v>10</v>
      </c>
      <c r="D293" s="421">
        <f>PRODUCT(Лист1!G47,$A$228)</f>
        <v>5.26</v>
      </c>
      <c r="E293" s="422">
        <f>Лист1!H47</f>
        <v>950</v>
      </c>
      <c r="F293" s="420">
        <f t="shared" si="25"/>
        <v>4997</v>
      </c>
      <c r="G293" s="183"/>
      <c r="H293" s="7"/>
      <c r="I293" s="7"/>
      <c r="J293" s="155"/>
      <c r="K293" s="126"/>
      <c r="L293" s="156"/>
    </row>
    <row r="294" spans="1:12" ht="15.75" x14ac:dyDescent="0.25">
      <c r="A294" s="139" t="str">
        <f>'работа 2 пат'!A277</f>
        <v>Лопата</v>
      </c>
      <c r="B294" s="88" t="s">
        <v>93</v>
      </c>
      <c r="C294" s="88">
        <v>11</v>
      </c>
      <c r="D294" s="421">
        <f>PRODUCT(Лист1!G48,$A$228)</f>
        <v>0.26300000000000001</v>
      </c>
      <c r="E294" s="422">
        <f>Лист1!H48</f>
        <v>1430</v>
      </c>
      <c r="F294" s="420">
        <f t="shared" si="25"/>
        <v>376.09000000000003</v>
      </c>
      <c r="G294" s="183"/>
      <c r="H294" s="7"/>
      <c r="I294" s="7"/>
      <c r="J294" s="155"/>
      <c r="K294" s="126"/>
      <c r="L294" s="156"/>
    </row>
    <row r="295" spans="1:12" ht="15.75" x14ac:dyDescent="0.25">
      <c r="A295" s="139" t="str">
        <f>'работа 2 пат'!A278</f>
        <v>Пружина</v>
      </c>
      <c r="B295" s="88" t="s">
        <v>93</v>
      </c>
      <c r="C295" s="88">
        <v>12</v>
      </c>
      <c r="D295" s="421">
        <f>PRODUCT(Лист1!G49,$A$228)</f>
        <v>6.5750000000000002</v>
      </c>
      <c r="E295" s="422">
        <f>Лист1!H49</f>
        <v>55</v>
      </c>
      <c r="F295" s="420">
        <f t="shared" si="25"/>
        <v>361.625</v>
      </c>
      <c r="G295" s="183"/>
      <c r="H295" s="7"/>
      <c r="I295" s="7"/>
      <c r="J295" s="155"/>
      <c r="K295" s="126"/>
      <c r="L295" s="156"/>
    </row>
    <row r="296" spans="1:12" ht="15.75" x14ac:dyDescent="0.25">
      <c r="A296" s="139" t="str">
        <f>'работа 2 пат'!A279</f>
        <v>ГСМ 12,1457л.*247дней*44,27 руб.</v>
      </c>
      <c r="B296" s="88" t="s">
        <v>93</v>
      </c>
      <c r="C296" s="88">
        <v>13</v>
      </c>
      <c r="D296" s="421">
        <f>PRODUCT(Лист1!G50,$A$228)</f>
        <v>325.63081999999997</v>
      </c>
      <c r="E296" s="422">
        <f>Лист1!H50</f>
        <v>50</v>
      </c>
      <c r="F296" s="420">
        <f t="shared" si="25"/>
        <v>16281.540999999999</v>
      </c>
      <c r="G296" s="183"/>
      <c r="H296" s="7"/>
      <c r="I296" s="7"/>
      <c r="J296" s="155"/>
      <c r="K296" s="126"/>
      <c r="L296" s="156"/>
    </row>
    <row r="297" spans="1:12" ht="15.75" x14ac:dyDescent="0.25">
      <c r="A297" s="139" t="str">
        <f>'работа 2 пат'!A280</f>
        <v>Чехол для кресла-мешка</v>
      </c>
      <c r="B297" s="88" t="s">
        <v>93</v>
      </c>
      <c r="C297" s="88">
        <v>14</v>
      </c>
      <c r="D297" s="421">
        <f>PRODUCT(Лист1!G51,$A$228)</f>
        <v>1.5780000000000001</v>
      </c>
      <c r="E297" s="422">
        <f>Лист1!H51</f>
        <v>2000</v>
      </c>
      <c r="F297" s="420">
        <f t="shared" si="25"/>
        <v>3156</v>
      </c>
      <c r="G297" s="183"/>
      <c r="H297" s="7"/>
      <c r="I297" s="7"/>
      <c r="J297" s="155"/>
      <c r="K297" s="126"/>
      <c r="L297" s="156"/>
    </row>
    <row r="298" spans="1:12" ht="15.75" x14ac:dyDescent="0.25">
      <c r="A298" s="139" t="str">
        <f>'работа 2 пат'!A281</f>
        <v>Наполнитель для кресла-мешка</v>
      </c>
      <c r="B298" s="88" t="s">
        <v>93</v>
      </c>
      <c r="C298" s="88">
        <v>15</v>
      </c>
      <c r="D298" s="421">
        <f>PRODUCT(Лист1!G52,$A$228)</f>
        <v>0.52600000000000002</v>
      </c>
      <c r="E298" s="422">
        <f>Лист1!H52</f>
        <v>1500</v>
      </c>
      <c r="F298" s="420">
        <f t="shared" si="25"/>
        <v>789</v>
      </c>
      <c r="G298" s="183"/>
      <c r="H298" s="7"/>
      <c r="I298" s="7"/>
      <c r="J298" s="155"/>
      <c r="K298" s="126"/>
      <c r="L298" s="156"/>
    </row>
    <row r="299" spans="1:12" ht="15.75" x14ac:dyDescent="0.25">
      <c r="A299" s="139" t="str">
        <f>'работа 2 пат'!A282</f>
        <v>Фотобумага IST глянцевая 100 листов односторонняя 230гр/м</v>
      </c>
      <c r="B299" s="88" t="s">
        <v>93</v>
      </c>
      <c r="C299" s="88">
        <v>16</v>
      </c>
      <c r="D299" s="421">
        <f>PRODUCT(Лист1!G53,$A$228)</f>
        <v>2.63</v>
      </c>
      <c r="E299" s="422">
        <f>Лист1!H53</f>
        <v>900</v>
      </c>
      <c r="F299" s="420">
        <f t="shared" ref="F299:F362" si="26">D299*E299</f>
        <v>2367</v>
      </c>
      <c r="G299" s="183"/>
      <c r="H299" s="7"/>
      <c r="I299" s="7"/>
      <c r="J299" s="155"/>
      <c r="K299" s="126"/>
      <c r="L299" s="156"/>
    </row>
    <row r="300" spans="1:12" ht="15.75" x14ac:dyDescent="0.25">
      <c r="A300" s="139" t="str">
        <f>'работа 2 пат'!A283</f>
        <v>Фотобумага IST глянцевая 100 листов односторонняя 180гр/м</v>
      </c>
      <c r="B300" s="88" t="s">
        <v>93</v>
      </c>
      <c r="C300" s="88">
        <v>17</v>
      </c>
      <c r="D300" s="421">
        <f>PRODUCT(Лист1!G54,$A$228)</f>
        <v>2.63</v>
      </c>
      <c r="E300" s="422">
        <f>Лист1!H54</f>
        <v>700</v>
      </c>
      <c r="F300" s="420">
        <f t="shared" si="26"/>
        <v>1841</v>
      </c>
      <c r="G300" s="183"/>
      <c r="H300" s="7"/>
      <c r="I300" s="7"/>
      <c r="J300" s="155"/>
      <c r="K300" s="126"/>
      <c r="L300" s="156"/>
    </row>
    <row r="301" spans="1:12" ht="15.75" x14ac:dyDescent="0.25">
      <c r="A301" s="139" t="str">
        <f>'работа 2 пат'!A284</f>
        <v>Фотобумага IST глянцевая 100 листов односторонняя 190гр/м</v>
      </c>
      <c r="B301" s="88" t="s">
        <v>93</v>
      </c>
      <c r="C301" s="88">
        <v>18</v>
      </c>
      <c r="D301" s="421">
        <f>PRODUCT(Лист1!G55,$A$228)</f>
        <v>5.26</v>
      </c>
      <c r="E301" s="422">
        <f>Лист1!H55</f>
        <v>350</v>
      </c>
      <c r="F301" s="420">
        <f t="shared" si="26"/>
        <v>1841</v>
      </c>
      <c r="G301" s="183"/>
      <c r="H301" s="7"/>
      <c r="I301" s="7"/>
      <c r="J301" s="155"/>
      <c r="K301" s="126"/>
      <c r="L301" s="156"/>
    </row>
    <row r="302" spans="1:12" ht="15.75" x14ac:dyDescent="0.25">
      <c r="A302" s="139" t="str">
        <f>'работа 2 пат'!A285</f>
        <v>Тонер ECOSYS</v>
      </c>
      <c r="B302" s="88" t="s">
        <v>93</v>
      </c>
      <c r="C302" s="88">
        <v>19</v>
      </c>
      <c r="D302" s="421">
        <f>PRODUCT(Лист1!G56,$A$228)</f>
        <v>0.52600000000000002</v>
      </c>
      <c r="E302" s="422">
        <f>Лист1!H56</f>
        <v>1500</v>
      </c>
      <c r="F302" s="420">
        <f t="shared" si="26"/>
        <v>789</v>
      </c>
      <c r="G302" s="183"/>
      <c r="H302" s="7"/>
      <c r="I302" s="7"/>
      <c r="J302" s="155"/>
      <c r="K302" s="126"/>
      <c r="L302" s="156"/>
    </row>
    <row r="303" spans="1:12" ht="15.75" x14ac:dyDescent="0.25">
      <c r="A303" s="139" t="str">
        <f>'работа 2 пат'!A286</f>
        <v>Картридж НР С2Р42АЕ</v>
      </c>
      <c r="B303" s="88" t="s">
        <v>93</v>
      </c>
      <c r="C303" s="88">
        <v>20</v>
      </c>
      <c r="D303" s="421">
        <f>PRODUCT(Лист1!G57,$A$228)</f>
        <v>0.52600000000000002</v>
      </c>
      <c r="E303" s="422">
        <f>Лист1!H57</f>
        <v>4800</v>
      </c>
      <c r="F303" s="420">
        <f t="shared" si="26"/>
        <v>2524.8000000000002</v>
      </c>
      <c r="G303" s="183"/>
      <c r="H303" s="7"/>
      <c r="I303" s="7"/>
      <c r="J303" s="155"/>
      <c r="K303" s="126"/>
      <c r="L303" s="156"/>
    </row>
    <row r="304" spans="1:12" ht="15.75" x14ac:dyDescent="0.25">
      <c r="A304" s="139" t="str">
        <f>'работа 2 пат'!A287</f>
        <v>Аккумулятор X-TREME Arctik  78.1</v>
      </c>
      <c r="B304" s="88" t="s">
        <v>93</v>
      </c>
      <c r="C304" s="88">
        <v>21</v>
      </c>
      <c r="D304" s="421">
        <f>PRODUCT(Лист1!G58,$A$228)</f>
        <v>0.26300000000000001</v>
      </c>
      <c r="E304" s="422">
        <f>Лист1!H58</f>
        <v>6900</v>
      </c>
      <c r="F304" s="420">
        <f t="shared" si="26"/>
        <v>1814.7</v>
      </c>
      <c r="G304" s="183"/>
      <c r="H304" s="7"/>
      <c r="I304" s="7"/>
      <c r="J304" s="155"/>
      <c r="K304" s="126"/>
      <c r="L304" s="156"/>
    </row>
    <row r="305" spans="1:12" ht="30" x14ac:dyDescent="0.25">
      <c r="A305" s="139" t="str">
        <f>'работа 2 пат'!A288</f>
        <v>Амортизатор УАЗ 3159 задн. TRIALLI газомасл.3159-2915006 (3159-2915006)</v>
      </c>
      <c r="B305" s="88" t="s">
        <v>93</v>
      </c>
      <c r="C305" s="88">
        <v>22</v>
      </c>
      <c r="D305" s="421">
        <f>PRODUCT(Лист1!G59,$A$228)</f>
        <v>1.052</v>
      </c>
      <c r="E305" s="422">
        <f>Лист1!H59</f>
        <v>1560</v>
      </c>
      <c r="F305" s="420">
        <f t="shared" si="26"/>
        <v>1641.1200000000001</v>
      </c>
      <c r="G305" s="183"/>
      <c r="H305" s="7"/>
      <c r="I305" s="7"/>
      <c r="J305" s="155"/>
      <c r="K305" s="126"/>
      <c r="L305" s="156"/>
    </row>
    <row r="306" spans="1:12" ht="15.75" x14ac:dyDescent="0.25">
      <c r="A306" s="139" t="str">
        <f>'работа 2 пат'!A289</f>
        <v>Болт М10*1*25 кардана УАЗ в/сб(уп. 20 шт)</v>
      </c>
      <c r="B306" s="88" t="s">
        <v>93</v>
      </c>
      <c r="C306" s="88">
        <v>23</v>
      </c>
      <c r="D306" s="421">
        <f>PRODUCT(Лист1!G60,$A$228)</f>
        <v>4.2080000000000002</v>
      </c>
      <c r="E306" s="422">
        <f>Лист1!H60</f>
        <v>20</v>
      </c>
      <c r="F306" s="420">
        <f t="shared" si="26"/>
        <v>84.16</v>
      </c>
      <c r="G306" s="183"/>
      <c r="H306" s="7"/>
      <c r="I306" s="7"/>
      <c r="J306" s="155"/>
      <c r="K306" s="126"/>
      <c r="L306" s="156"/>
    </row>
    <row r="307" spans="1:12" ht="30" x14ac:dyDescent="0.25">
      <c r="A307" s="139" t="str">
        <f>'работа 2 пат'!A290</f>
        <v>Винт М8*1,25*12 потай шлиц.торм.барабана Волга Г-2410 290605 (290605-п29)</v>
      </c>
      <c r="B307" s="88" t="s">
        <v>93</v>
      </c>
      <c r="C307" s="88">
        <v>24</v>
      </c>
      <c r="D307" s="421">
        <f>PRODUCT(Лист1!G61,$A$228)</f>
        <v>6.3120000000000003</v>
      </c>
      <c r="E307" s="422">
        <f>Лист1!H61</f>
        <v>12</v>
      </c>
      <c r="F307" s="420">
        <f t="shared" si="26"/>
        <v>75.744</v>
      </c>
      <c r="G307" s="183"/>
      <c r="H307" s="7"/>
      <c r="I307" s="7"/>
      <c r="J307" s="155"/>
      <c r="K307" s="126"/>
      <c r="L307" s="156"/>
    </row>
    <row r="308" spans="1:12" ht="30" x14ac:dyDescent="0.25">
      <c r="A308" s="139" t="str">
        <f>'работа 2 пат'!A291</f>
        <v>Вкладыш шкворня УАЗ-3160(латунь н/о 2 усика)3160 2304023-10 (3160 2304023-10)</v>
      </c>
      <c r="B308" s="88" t="s">
        <v>93</v>
      </c>
      <c r="C308" s="88">
        <v>25</v>
      </c>
      <c r="D308" s="421">
        <f>PRODUCT(Лист1!G62,$A$228)</f>
        <v>2.1040000000000001</v>
      </c>
      <c r="E308" s="422">
        <f>Лист1!H62</f>
        <v>50</v>
      </c>
      <c r="F308" s="420">
        <f t="shared" si="26"/>
        <v>105.2</v>
      </c>
      <c r="G308" s="183"/>
      <c r="H308" s="7"/>
      <c r="I308" s="7"/>
      <c r="J308" s="155"/>
      <c r="K308" s="126"/>
      <c r="L308" s="156"/>
    </row>
    <row r="309" spans="1:12" ht="15.75" x14ac:dyDescent="0.25">
      <c r="A309" s="139" t="str">
        <f>'работа 2 пат'!A292</f>
        <v>Втулка амортизатора Волга ,УАЗ полиуретан 451-2905432 (451-2905432)</v>
      </c>
      <c r="B309" s="88" t="s">
        <v>93</v>
      </c>
      <c r="C309" s="88">
        <v>26</v>
      </c>
      <c r="D309" s="421">
        <f>PRODUCT(Лист1!G63,$A$228)</f>
        <v>5.26</v>
      </c>
      <c r="E309" s="422">
        <f>Лист1!H63</f>
        <v>36</v>
      </c>
      <c r="F309" s="420">
        <f t="shared" si="26"/>
        <v>189.35999999999999</v>
      </c>
      <c r="G309" s="183"/>
      <c r="H309" s="7"/>
      <c r="I309" s="7"/>
      <c r="J309" s="155"/>
      <c r="K309" s="126"/>
      <c r="L309" s="156"/>
    </row>
    <row r="310" spans="1:12" ht="15.75" x14ac:dyDescent="0.25">
      <c r="A310" s="139" t="str">
        <f>'работа 2 пат'!A293</f>
        <v>Гайка колесная  М14*1,5 (18, ключ 22) Волга, Соболь, УАЗ</v>
      </c>
      <c r="B310" s="88" t="s">
        <v>93</v>
      </c>
      <c r="C310" s="88">
        <v>27</v>
      </c>
      <c r="D310" s="421">
        <f>PRODUCT(Лист1!G64,$A$228)</f>
        <v>5.26</v>
      </c>
      <c r="E310" s="422">
        <f>Лист1!H64</f>
        <v>18</v>
      </c>
      <c r="F310" s="420">
        <f t="shared" si="26"/>
        <v>94.679999999999993</v>
      </c>
      <c r="G310" s="183"/>
      <c r="H310" s="7"/>
      <c r="I310" s="7"/>
      <c r="J310" s="155"/>
      <c r="K310" s="126"/>
      <c r="L310" s="156"/>
    </row>
    <row r="311" spans="1:12" ht="15.75" x14ac:dyDescent="0.25">
      <c r="A311" s="139" t="str">
        <f>'работа 2 пат'!A294</f>
        <v>Катушка зажигания 405 дв.(АТЭ-1)3032.3705 (3032.3705)</v>
      </c>
      <c r="B311" s="88" t="s">
        <v>93</v>
      </c>
      <c r="C311" s="88">
        <v>28</v>
      </c>
      <c r="D311" s="421">
        <f>PRODUCT(Лист1!G65,$A$228)</f>
        <v>1.052</v>
      </c>
      <c r="E311" s="422">
        <f>Лист1!H65</f>
        <v>875</v>
      </c>
      <c r="F311" s="420">
        <f t="shared" si="26"/>
        <v>920.5</v>
      </c>
      <c r="G311" s="183"/>
      <c r="H311" s="7"/>
      <c r="I311" s="7"/>
      <c r="J311" s="155"/>
      <c r="K311" s="126"/>
      <c r="L311" s="156"/>
    </row>
    <row r="312" spans="1:12" ht="30" x14ac:dyDescent="0.25">
      <c r="A312" s="139" t="str">
        <f>'работа 2 пат'!A295</f>
        <v>Колодка переднего тормоза (к-т 4 шт.)УАЗ Оригинал(ТИИР) 3163 3501088 (3163 3501088)</v>
      </c>
      <c r="B312" s="88" t="s">
        <v>93</v>
      </c>
      <c r="C312" s="88">
        <v>29</v>
      </c>
      <c r="D312" s="421">
        <f>PRODUCT(Лист1!G66,$A$228)</f>
        <v>1.052</v>
      </c>
      <c r="E312" s="422">
        <f>Лист1!H66</f>
        <v>672</v>
      </c>
      <c r="F312" s="420">
        <f t="shared" si="26"/>
        <v>706.94400000000007</v>
      </c>
      <c r="G312" s="183"/>
      <c r="H312" s="7"/>
      <c r="I312" s="7"/>
      <c r="J312" s="155"/>
      <c r="K312" s="126"/>
      <c r="L312" s="156"/>
    </row>
    <row r="313" spans="1:12" ht="15.75" x14ac:dyDescent="0.25">
      <c r="A313" s="139" t="str">
        <f>'работа 2 пат'!A296</f>
        <v>Кольцо крестовины карданного вала</v>
      </c>
      <c r="B313" s="88" t="s">
        <v>93</v>
      </c>
      <c r="C313" s="88">
        <v>30</v>
      </c>
      <c r="D313" s="421">
        <f>PRODUCT(Лист1!G67,$A$228)</f>
        <v>2.1040000000000001</v>
      </c>
      <c r="E313" s="422">
        <f>Лист1!H67</f>
        <v>10</v>
      </c>
      <c r="F313" s="420">
        <f t="shared" si="26"/>
        <v>21.04</v>
      </c>
      <c r="G313" s="183"/>
      <c r="H313" s="7"/>
      <c r="I313" s="7"/>
      <c r="J313" s="155"/>
      <c r="K313" s="126"/>
      <c r="L313" s="156"/>
    </row>
    <row r="314" spans="1:12" ht="30" x14ac:dyDescent="0.25">
      <c r="A314" s="139" t="str">
        <f>'работа 2 пат'!A297</f>
        <v>Комплект ГРМ(полный)ЗМЗ 405-409 ЕВРО-3 "Идеальная фаза"(двухрядная цепь 72/92 Ditton)406.3906625-05 (406.3906625-05)</v>
      </c>
      <c r="B314" s="88" t="s">
        <v>93</v>
      </c>
      <c r="C314" s="88">
        <v>31</v>
      </c>
      <c r="D314" s="421">
        <f>PRODUCT(Лист1!G68,$A$228)</f>
        <v>0.26300000000000001</v>
      </c>
      <c r="E314" s="422">
        <f>Лист1!H68</f>
        <v>6377</v>
      </c>
      <c r="F314" s="420">
        <f t="shared" si="26"/>
        <v>1677.1510000000001</v>
      </c>
      <c r="G314" s="183"/>
      <c r="H314" s="7"/>
      <c r="I314" s="7"/>
      <c r="J314" s="155"/>
      <c r="K314" s="126"/>
      <c r="L314" s="156"/>
    </row>
    <row r="315" spans="1:12" ht="15.75" x14ac:dyDescent="0.25">
      <c r="A315" s="139" t="str">
        <f>'работа 2 пат'!A298</f>
        <v>Комплект прокладок на дв.4091 Саморим УАЗ 452</v>
      </c>
      <c r="B315" s="88" t="s">
        <v>93</v>
      </c>
      <c r="C315" s="88">
        <v>32</v>
      </c>
      <c r="D315" s="421">
        <f>PRODUCT(Лист1!G69,$A$228)</f>
        <v>0.26300000000000001</v>
      </c>
      <c r="E315" s="422">
        <f>Лист1!H69</f>
        <v>1037</v>
      </c>
      <c r="F315" s="420">
        <f t="shared" si="26"/>
        <v>272.73099999999999</v>
      </c>
      <c r="G315" s="183"/>
      <c r="H315" s="7"/>
      <c r="I315" s="7"/>
      <c r="J315" s="155"/>
      <c r="K315" s="126"/>
      <c r="L315" s="156"/>
    </row>
    <row r="316" spans="1:12" ht="30" x14ac:dyDescent="0.25">
      <c r="A316" s="139" t="str">
        <f>'работа 2 пат'!A299</f>
        <v>Крестовина кардан.вала УАЗ(АДС)с масленкой и стопорными кольцами 42000.0469-2201025-00 (ВК469-2201025)</v>
      </c>
      <c r="B316" s="88" t="s">
        <v>93</v>
      </c>
      <c r="C316" s="88">
        <v>33</v>
      </c>
      <c r="D316" s="421">
        <f>PRODUCT(Лист1!G70,$A$228)</f>
        <v>1.052</v>
      </c>
      <c r="E316" s="422">
        <f>Лист1!H70</f>
        <v>570</v>
      </c>
      <c r="F316" s="420">
        <f t="shared" si="26"/>
        <v>599.64</v>
      </c>
      <c r="G316" s="183"/>
      <c r="H316" s="7"/>
      <c r="I316" s="7"/>
      <c r="J316" s="155"/>
      <c r="K316" s="126"/>
      <c r="L316" s="156"/>
    </row>
    <row r="317" spans="1:12" ht="15.75" x14ac:dyDescent="0.25">
      <c r="A317" s="139" t="str">
        <f>'работа 2 пат'!A300</f>
        <v>Накладка педали сцепления УАЗ 2206</v>
      </c>
      <c r="B317" s="88" t="s">
        <v>93</v>
      </c>
      <c r="C317" s="88">
        <v>34</v>
      </c>
      <c r="D317" s="421">
        <f>PRODUCT(Лист1!G71,$A$228)</f>
        <v>0.26300000000000001</v>
      </c>
      <c r="E317" s="422">
        <f>Лист1!H71</f>
        <v>29</v>
      </c>
      <c r="F317" s="420">
        <f t="shared" si="26"/>
        <v>7.6270000000000007</v>
      </c>
      <c r="G317" s="183"/>
      <c r="H317" s="7"/>
      <c r="I317" s="7"/>
      <c r="J317" s="155"/>
      <c r="K317" s="126"/>
      <c r="L317" s="156"/>
    </row>
    <row r="318" spans="1:12" ht="30" x14ac:dyDescent="0.25">
      <c r="A318" s="139" t="str">
        <f>'работа 2 пат'!A301</f>
        <v>Наконечник рулевой тяги левый "АДС-Expert" 469-3414057-01 (469-3414057-01)</v>
      </c>
      <c r="B318" s="88" t="s">
        <v>93</v>
      </c>
      <c r="C318" s="88">
        <v>35</v>
      </c>
      <c r="D318" s="421">
        <f>PRODUCT(Лист1!G72,$A$228)</f>
        <v>0.52600000000000002</v>
      </c>
      <c r="E318" s="422">
        <f>Лист1!H72</f>
        <v>450</v>
      </c>
      <c r="F318" s="420">
        <f t="shared" si="26"/>
        <v>236.70000000000002</v>
      </c>
      <c r="G318" s="183"/>
      <c r="H318" s="7"/>
      <c r="I318" s="7"/>
      <c r="J318" s="155"/>
      <c r="K318" s="126"/>
      <c r="L318" s="156"/>
    </row>
    <row r="319" spans="1:12" ht="30" x14ac:dyDescent="0.25">
      <c r="A319" s="139" t="str">
        <f>'работа 2 пат'!A302</f>
        <v>Наконечник рулевой тяги правый "АДС-Expert" 469-3414056-01 (469-3414056-01)</v>
      </c>
      <c r="B319" s="88" t="s">
        <v>93</v>
      </c>
      <c r="C319" s="88">
        <v>36</v>
      </c>
      <c r="D319" s="421">
        <f>PRODUCT(Лист1!G73,$A$228)</f>
        <v>1.5780000000000001</v>
      </c>
      <c r="E319" s="422">
        <f>Лист1!H73</f>
        <v>450</v>
      </c>
      <c r="F319" s="420">
        <f t="shared" si="26"/>
        <v>710.1</v>
      </c>
      <c r="G319" s="183"/>
      <c r="H319" s="7"/>
      <c r="I319" s="7"/>
      <c r="J319" s="155"/>
      <c r="K319" s="126"/>
      <c r="L319" s="156"/>
    </row>
    <row r="320" spans="1:12" ht="30" x14ac:dyDescent="0.25">
      <c r="A320" s="139" t="str">
        <f>'работа 2 пат'!A303</f>
        <v>Патрубки радиатора УАЗ Патриот 409дв.без кондиционера(силикон)(к-т 3шт)</v>
      </c>
      <c r="B320" s="88" t="s">
        <v>93</v>
      </c>
      <c r="C320" s="88">
        <v>37</v>
      </c>
      <c r="D320" s="421">
        <f>PRODUCT(Лист1!G74,$A$228)</f>
        <v>0.26300000000000001</v>
      </c>
      <c r="E320" s="422">
        <f>Лист1!H74</f>
        <v>1920</v>
      </c>
      <c r="F320" s="420">
        <f t="shared" si="26"/>
        <v>504.96000000000004</v>
      </c>
      <c r="G320" s="183"/>
      <c r="H320" s="7"/>
      <c r="I320" s="7"/>
      <c r="J320" s="155"/>
      <c r="K320" s="126"/>
      <c r="L320" s="156"/>
    </row>
    <row r="321" spans="1:12" ht="15.75" x14ac:dyDescent="0.25">
      <c r="A321" s="139" t="str">
        <f>'работа 2 пат'!A304</f>
        <v>Подшипник ступичный 127509</v>
      </c>
      <c r="B321" s="88" t="s">
        <v>93</v>
      </c>
      <c r="C321" s="88">
        <v>38</v>
      </c>
      <c r="D321" s="421">
        <f>PRODUCT(Лист1!G75,$A$228)</f>
        <v>2.1040000000000001</v>
      </c>
      <c r="E321" s="422">
        <f>Лист1!H75</f>
        <v>592</v>
      </c>
      <c r="F321" s="420">
        <f t="shared" si="26"/>
        <v>1245.568</v>
      </c>
      <c r="G321" s="183"/>
      <c r="H321" s="7"/>
      <c r="I321" s="7"/>
      <c r="J321" s="155"/>
      <c r="K321" s="126"/>
      <c r="L321" s="156"/>
    </row>
    <row r="322" spans="1:12" ht="15.75" x14ac:dyDescent="0.25">
      <c r="A322" s="139" t="str">
        <f>'работа 2 пат'!A305</f>
        <v>Провода в/в 4091 дв.с наконеч.силикон.4091-3707244 (4091-3707244)</v>
      </c>
      <c r="B322" s="88" t="s">
        <v>93</v>
      </c>
      <c r="C322" s="88">
        <v>39</v>
      </c>
      <c r="D322" s="421">
        <f>PRODUCT(Лист1!G76,$A$228)</f>
        <v>0.52600000000000002</v>
      </c>
      <c r="E322" s="422">
        <f>Лист1!H76</f>
        <v>1025</v>
      </c>
      <c r="F322" s="420">
        <f t="shared" si="26"/>
        <v>539.15</v>
      </c>
      <c r="G322" s="183"/>
      <c r="H322" s="7"/>
      <c r="I322" s="7"/>
      <c r="J322" s="155"/>
      <c r="K322" s="126"/>
      <c r="L322" s="156"/>
    </row>
    <row r="323" spans="1:12" ht="15.75" x14ac:dyDescent="0.25">
      <c r="A323" s="139" t="str">
        <f>'работа 2 пат'!A306</f>
        <v>Прокладка крышки полуоси(паронит)3151-2407048 (3151-2407048)</v>
      </c>
      <c r="B323" s="88" t="s">
        <v>93</v>
      </c>
      <c r="C323" s="88">
        <v>40</v>
      </c>
      <c r="D323" s="421">
        <f>PRODUCT(Лист1!G77,$A$228)</f>
        <v>2.63</v>
      </c>
      <c r="E323" s="422">
        <f>Лист1!H77</f>
        <v>15</v>
      </c>
      <c r="F323" s="420">
        <f t="shared" si="26"/>
        <v>39.449999999999996</v>
      </c>
      <c r="G323" s="183"/>
      <c r="H323" s="7"/>
      <c r="I323" s="7"/>
      <c r="J323" s="155"/>
      <c r="K323" s="126"/>
      <c r="L323" s="156"/>
    </row>
    <row r="324" spans="1:12" ht="30" x14ac:dyDescent="0.25">
      <c r="A324" s="139" t="str">
        <f>'работа 2 пат'!A307</f>
        <v>Ремень (1275  мм 6РК) ЗМЗ-40524, 40525 ЕВРО -3 без ГУР "LUZAR" (40624 1308020-01)</v>
      </c>
      <c r="B324" s="88" t="s">
        <v>93</v>
      </c>
      <c r="C324" s="88">
        <v>41</v>
      </c>
      <c r="D324" s="421">
        <f>PRODUCT(Лист1!G78,$A$228)</f>
        <v>0.78900000000000003</v>
      </c>
      <c r="E324" s="422">
        <f>Лист1!H78</f>
        <v>467</v>
      </c>
      <c r="F324" s="420">
        <f t="shared" si="26"/>
        <v>368.46300000000002</v>
      </c>
      <c r="G324" s="183"/>
      <c r="H324" s="7"/>
      <c r="I324" s="7"/>
      <c r="J324" s="155"/>
      <c r="K324" s="126"/>
      <c r="L324" s="156"/>
    </row>
    <row r="325" spans="1:12" ht="30" x14ac:dyDescent="0.25">
      <c r="A325" s="139" t="str">
        <f>'работа 2 пат'!A308</f>
        <v>Ремень 1195 - 6 РК привода ГУР "OLEX POLY V BELT"3163-00-1308020-02 (3163-00-1308020-02)</v>
      </c>
      <c r="B325" s="88" t="s">
        <v>93</v>
      </c>
      <c r="C325" s="88">
        <v>42</v>
      </c>
      <c r="D325" s="421">
        <f>PRODUCT(Лист1!G79,$A$228)</f>
        <v>0.78900000000000003</v>
      </c>
      <c r="E325" s="422">
        <f>Лист1!H79</f>
        <v>285</v>
      </c>
      <c r="F325" s="420">
        <f t="shared" si="26"/>
        <v>224.86500000000001</v>
      </c>
      <c r="G325" s="183"/>
      <c r="H325" s="7"/>
      <c r="I325" s="7"/>
      <c r="J325" s="155"/>
      <c r="K325" s="126"/>
      <c r="L325" s="156"/>
    </row>
    <row r="326" spans="1:12" ht="15.75" x14ac:dyDescent="0.25">
      <c r="A326" s="139" t="str">
        <f>'работа 2 пат'!A309</f>
        <v>Ремень буксировочный 6/9т 6м (а/м до 3т)  Крюк/Крюк +сумка(олива) Tplus</v>
      </c>
      <c r="B326" s="88" t="s">
        <v>93</v>
      </c>
      <c r="C326" s="88">
        <v>43</v>
      </c>
      <c r="D326" s="421">
        <f>PRODUCT(Лист1!G80,$A$228)</f>
        <v>0.26300000000000001</v>
      </c>
      <c r="E326" s="422">
        <f>Лист1!H80</f>
        <v>1260</v>
      </c>
      <c r="F326" s="420">
        <f t="shared" si="26"/>
        <v>331.38</v>
      </c>
      <c r="G326" s="183"/>
      <c r="H326" s="7"/>
      <c r="I326" s="7"/>
      <c r="J326" s="155"/>
      <c r="K326" s="126"/>
      <c r="L326" s="156"/>
    </row>
    <row r="327" spans="1:12" ht="30" x14ac:dyDescent="0.25">
      <c r="A327" s="139" t="str">
        <f>'работа 2 пат'!A310</f>
        <v>Ремкомплект поворотного кулака УАЗ мост Спайсер с полиуретановым сальником 3160-2304052 (3160-2304052)</v>
      </c>
      <c r="B327" s="88" t="s">
        <v>93</v>
      </c>
      <c r="C327" s="88">
        <v>44</v>
      </c>
      <c r="D327" s="421">
        <f>PRODUCT(Лист1!G81,$A$228)</f>
        <v>1.052</v>
      </c>
      <c r="E327" s="422">
        <f>Лист1!H81</f>
        <v>191</v>
      </c>
      <c r="F327" s="420">
        <f t="shared" si="26"/>
        <v>200.93200000000002</v>
      </c>
      <c r="G327" s="183"/>
      <c r="H327" s="7"/>
      <c r="I327" s="7"/>
      <c r="J327" s="155"/>
      <c r="K327" s="126"/>
      <c r="L327" s="156"/>
    </row>
    <row r="328" spans="1:12" ht="30" x14ac:dyDescent="0.25">
      <c r="A328" s="139" t="str">
        <f>'работа 2 пат'!A311</f>
        <v>Ремкомплект шкворня УАЗ Хантер,Патриот мост Спайсер н/о(2 уса) с вкладышами)"Ваксойл"3163-230401 (3163-230401)</v>
      </c>
      <c r="B328" s="88" t="s">
        <v>93</v>
      </c>
      <c r="C328" s="88">
        <v>45</v>
      </c>
      <c r="D328" s="421">
        <f>PRODUCT(Лист1!G82,$A$228)</f>
        <v>0.52600000000000002</v>
      </c>
      <c r="E328" s="422">
        <f>Лист1!H82</f>
        <v>2845</v>
      </c>
      <c r="F328" s="420">
        <f t="shared" si="26"/>
        <v>1496.47</v>
      </c>
      <c r="G328" s="183"/>
      <c r="H328" s="7"/>
      <c r="I328" s="7"/>
      <c r="J328" s="155"/>
      <c r="K328" s="126"/>
      <c r="L328" s="156"/>
    </row>
    <row r="329" spans="1:12" ht="30" x14ac:dyDescent="0.25">
      <c r="A329" s="139" t="str">
        <f>'работа 2 пат'!A312</f>
        <v>Сайлентблок передней подвески УАЗ резинометаллический (малый) 3160-2909027 (3160-2909027)</v>
      </c>
      <c r="B329" s="88" t="s">
        <v>93</v>
      </c>
      <c r="C329" s="88">
        <v>46</v>
      </c>
      <c r="D329" s="421">
        <f>PRODUCT(Лист1!G83,$A$228)</f>
        <v>1.5780000000000001</v>
      </c>
      <c r="E329" s="422">
        <f>Лист1!H83</f>
        <v>405</v>
      </c>
      <c r="F329" s="420">
        <f t="shared" si="26"/>
        <v>639.09</v>
      </c>
      <c r="G329" s="183"/>
      <c r="H329" s="7"/>
      <c r="I329" s="7"/>
      <c r="J329" s="155"/>
      <c r="K329" s="126"/>
      <c r="L329" s="156"/>
    </row>
    <row r="330" spans="1:12" ht="15.75" x14ac:dyDescent="0.25">
      <c r="A330" s="139" t="str">
        <f>'работа 2 пат'!A313</f>
        <v>Сайлентблок рессоры УАЗ-Патриот 3163(завод)3163-2912020 (3163-2912020)</v>
      </c>
      <c r="B330" s="88" t="s">
        <v>93</v>
      </c>
      <c r="C330" s="88">
        <v>47</v>
      </c>
      <c r="D330" s="421">
        <f>PRODUCT(Лист1!G84,$A$228)</f>
        <v>2.1040000000000001</v>
      </c>
      <c r="E330" s="422">
        <f>Лист1!H84</f>
        <v>288</v>
      </c>
      <c r="F330" s="420">
        <f t="shared" si="26"/>
        <v>605.952</v>
      </c>
      <c r="G330" s="183"/>
      <c r="H330" s="7"/>
      <c r="I330" s="7"/>
      <c r="J330" s="155"/>
      <c r="K330" s="126"/>
      <c r="L330" s="156"/>
    </row>
    <row r="331" spans="1:12" ht="30" x14ac:dyDescent="0.25">
      <c r="A331" s="139" t="str">
        <f>'работа 2 пат'!A314</f>
        <v>Сальник (55х70х8) коленвала передний 406дв."Кортеко"(Германия)406.1005034-02 (406.1005034-02)</v>
      </c>
      <c r="B331" s="88" t="s">
        <v>93</v>
      </c>
      <c r="C331" s="88">
        <v>48</v>
      </c>
      <c r="D331" s="421">
        <f>PRODUCT(Лист1!G85,$A$228)</f>
        <v>0.52600000000000002</v>
      </c>
      <c r="E331" s="422">
        <f>Лист1!H85</f>
        <v>198</v>
      </c>
      <c r="F331" s="420">
        <f t="shared" si="26"/>
        <v>104.14800000000001</v>
      </c>
      <c r="G331" s="183"/>
      <c r="H331" s="7"/>
      <c r="I331" s="7"/>
      <c r="J331" s="155"/>
      <c r="K331" s="126"/>
      <c r="L331" s="156"/>
    </row>
    <row r="332" spans="1:12" ht="15.75" x14ac:dyDescent="0.25">
      <c r="A332" s="139" t="str">
        <f>'работа 2 пат'!A315</f>
        <v>Сальник (60х85х10) ступицы  NAK International 3741-3103038 (3741-3103038)</v>
      </c>
      <c r="B332" s="88" t="s">
        <v>93</v>
      </c>
      <c r="C332" s="88">
        <v>49</v>
      </c>
      <c r="D332" s="421">
        <f>PRODUCT(Лист1!G86,$A$228)</f>
        <v>6.3120000000000003</v>
      </c>
      <c r="E332" s="422">
        <f>Лист1!H86</f>
        <v>192</v>
      </c>
      <c r="F332" s="420">
        <f t="shared" si="26"/>
        <v>1211.904</v>
      </c>
      <c r="G332" s="183"/>
      <c r="H332" s="7"/>
      <c r="I332" s="7"/>
      <c r="J332" s="155"/>
      <c r="K332" s="126"/>
      <c r="L332" s="156"/>
    </row>
    <row r="333" spans="1:12" ht="15.75" x14ac:dyDescent="0.25">
      <c r="A333" s="139" t="str">
        <f>'работа 2 пат'!A316</f>
        <v>Сальник к/вала задний 100л.с. 80х100х10(NAK intarnational)</v>
      </c>
      <c r="B333" s="88" t="s">
        <v>93</v>
      </c>
      <c r="C333" s="88">
        <v>50</v>
      </c>
      <c r="D333" s="421">
        <f>PRODUCT(Лист1!G87,$A$228)</f>
        <v>0.52600000000000002</v>
      </c>
      <c r="E333" s="422">
        <f>Лист1!H87</f>
        <v>187</v>
      </c>
      <c r="F333" s="420">
        <f t="shared" si="26"/>
        <v>98.362000000000009</v>
      </c>
      <c r="G333" s="183"/>
      <c r="H333" s="7"/>
      <c r="I333" s="7"/>
      <c r="J333" s="155"/>
      <c r="K333" s="126"/>
      <c r="L333" s="156"/>
    </row>
    <row r="334" spans="1:12" ht="30" x14ac:dyDescent="0.25">
      <c r="A334" s="139" t="str">
        <f>'работа 2 пат'!A317</f>
        <v>Сальник хвостовика 42х68х 10/14,5 усиленный "NAK"3741-00-1701210-03 (3741-00-1701210-03)</v>
      </c>
      <c r="B334" s="88" t="s">
        <v>93</v>
      </c>
      <c r="C334" s="88">
        <v>51</v>
      </c>
      <c r="D334" s="421">
        <f>PRODUCT(Лист1!G88,$A$228)</f>
        <v>2.1040000000000001</v>
      </c>
      <c r="E334" s="422">
        <f>Лист1!H88</f>
        <v>175</v>
      </c>
      <c r="F334" s="420">
        <f t="shared" si="26"/>
        <v>368.2</v>
      </c>
      <c r="G334" s="183"/>
      <c r="H334" s="7"/>
      <c r="I334" s="7"/>
      <c r="J334" s="155"/>
      <c r="K334" s="126"/>
      <c r="L334" s="156"/>
    </row>
    <row r="335" spans="1:12" ht="12.75" customHeight="1" x14ac:dyDescent="0.25">
      <c r="A335" s="139" t="str">
        <f>'работа 2 пат'!A318</f>
        <v>Сальник шруса (в мет. обойме)(32х50х10)(19000078)3741-2304071 (3741-2304071)</v>
      </c>
      <c r="B335" s="88" t="s">
        <v>93</v>
      </c>
      <c r="C335" s="88">
        <v>52</v>
      </c>
      <c r="D335" s="421">
        <f>PRODUCT(Лист1!G89,$A$228)</f>
        <v>1.052</v>
      </c>
      <c r="E335" s="422">
        <f>Лист1!H89</f>
        <v>59</v>
      </c>
      <c r="F335" s="420">
        <f t="shared" si="26"/>
        <v>62.068000000000005</v>
      </c>
      <c r="G335" s="183"/>
      <c r="H335" s="7"/>
      <c r="I335" s="7"/>
      <c r="J335" s="155"/>
      <c r="K335" s="126"/>
      <c r="L335" s="156"/>
    </row>
    <row r="336" spans="1:12" ht="15.75" x14ac:dyDescent="0.25">
      <c r="A336" s="139" t="str">
        <f>'работа 2 пат'!A319</f>
        <v>Свеча зажигания DENSO  Q16ТТ#4  4607#4 (1 шт.)</v>
      </c>
      <c r="B336" s="88" t="s">
        <v>93</v>
      </c>
      <c r="C336" s="88">
        <v>53</v>
      </c>
      <c r="D336" s="421">
        <f>PRODUCT(Лист1!G90,$A$228)</f>
        <v>2.1040000000000001</v>
      </c>
      <c r="E336" s="422">
        <f>Лист1!H90</f>
        <v>185</v>
      </c>
      <c r="F336" s="420">
        <f t="shared" si="26"/>
        <v>389.24</v>
      </c>
      <c r="G336" s="183"/>
      <c r="H336" s="7"/>
      <c r="I336" s="7"/>
      <c r="J336" s="155"/>
      <c r="K336" s="126"/>
      <c r="L336" s="156"/>
    </row>
    <row r="337" spans="1:12" ht="15.75" x14ac:dyDescent="0.25">
      <c r="A337" s="139" t="str">
        <f>'работа 2 пат'!A320</f>
        <v>Скоба омегообр. с резьбой г/п 2,0т тип G 209 ХЛ</v>
      </c>
      <c r="B337" s="88" t="s">
        <v>93</v>
      </c>
      <c r="C337" s="88">
        <v>54</v>
      </c>
      <c r="D337" s="421">
        <f>PRODUCT(Лист1!G91,$A$228)</f>
        <v>0.26300000000000001</v>
      </c>
      <c r="E337" s="422">
        <f>Лист1!H91</f>
        <v>175</v>
      </c>
      <c r="F337" s="420">
        <f t="shared" si="26"/>
        <v>46.024999999999999</v>
      </c>
      <c r="G337" s="183"/>
      <c r="H337" s="7"/>
      <c r="I337" s="7"/>
      <c r="J337" s="155"/>
      <c r="K337" s="126"/>
      <c r="L337" s="156"/>
    </row>
    <row r="338" spans="1:12" ht="15.75" x14ac:dyDescent="0.25">
      <c r="A338" s="139" t="str">
        <f>'работа 2 пат'!A321</f>
        <v>Строп динамический (рывковый) 6т,  9 м, серия "Стандарт" TPlus</v>
      </c>
      <c r="B338" s="88" t="s">
        <v>93</v>
      </c>
      <c r="C338" s="88">
        <v>55</v>
      </c>
      <c r="D338" s="421">
        <f>PRODUCT(Лист1!G92,$A$228)</f>
        <v>0.26300000000000001</v>
      </c>
      <c r="E338" s="422">
        <f>Лист1!H92</f>
        <v>1750</v>
      </c>
      <c r="F338" s="420">
        <f t="shared" si="26"/>
        <v>460.25</v>
      </c>
      <c r="G338" s="183"/>
      <c r="H338" s="7"/>
      <c r="I338" s="7"/>
      <c r="J338" s="155"/>
      <c r="K338" s="126"/>
      <c r="L338" s="156"/>
    </row>
    <row r="339" spans="1:12" ht="30" x14ac:dyDescent="0.25">
      <c r="A339" s="139" t="str">
        <f>'работа 2 пат'!A322</f>
        <v>Ступица заднего колеса УАЗ-3163(с имп.диском в сборе АБС)3163-3104006 (3163-3104006)</v>
      </c>
      <c r="B339" s="88" t="s">
        <v>93</v>
      </c>
      <c r="C339" s="88">
        <v>56</v>
      </c>
      <c r="D339" s="421">
        <f>PRODUCT(Лист1!G93,$A$228)</f>
        <v>0.26300000000000001</v>
      </c>
      <c r="E339" s="422">
        <f>Лист1!H93</f>
        <v>4460</v>
      </c>
      <c r="F339" s="420">
        <f t="shared" si="26"/>
        <v>1172.98</v>
      </c>
      <c r="G339" s="183"/>
      <c r="H339" s="7"/>
      <c r="I339" s="7"/>
      <c r="J339" s="155"/>
      <c r="K339" s="126"/>
      <c r="L339" s="156"/>
    </row>
    <row r="340" spans="1:12" ht="30" x14ac:dyDescent="0.25">
      <c r="A340" s="139" t="str">
        <f>'работа 2 пат'!A323</f>
        <v>Сцепление к-т ЗМЗ-409"LUK"(с выжимным подшипником АДС)3163 06 1601006 (3163 06 1601006)</v>
      </c>
      <c r="B340" s="88" t="s">
        <v>93</v>
      </c>
      <c r="C340" s="88">
        <v>57</v>
      </c>
      <c r="D340" s="421">
        <f>PRODUCT(Лист1!G94,$A$228)</f>
        <v>0.26300000000000001</v>
      </c>
      <c r="E340" s="422">
        <f>Лист1!H94</f>
        <v>8725</v>
      </c>
      <c r="F340" s="420">
        <f t="shared" si="26"/>
        <v>2294.6750000000002</v>
      </c>
      <c r="G340" s="183"/>
      <c r="H340" s="7"/>
      <c r="I340" s="7"/>
      <c r="J340" s="155"/>
      <c r="K340" s="126"/>
      <c r="L340" s="156"/>
    </row>
    <row r="341" spans="1:12" ht="15.75" x14ac:dyDescent="0.25">
      <c r="A341" s="139" t="str">
        <f>'работа 2 пат'!A324</f>
        <v>Термостат Т-118 t-87 (УМЗ4216) Электон  Т118-1306100-04</v>
      </c>
      <c r="B341" s="88" t="s">
        <v>93</v>
      </c>
      <c r="C341" s="88">
        <v>58</v>
      </c>
      <c r="D341" s="421">
        <f>PRODUCT(Лист1!G95,$A$228)</f>
        <v>0.52600000000000002</v>
      </c>
      <c r="E341" s="422">
        <f>Лист1!H95</f>
        <v>315</v>
      </c>
      <c r="F341" s="420">
        <f t="shared" si="26"/>
        <v>165.69</v>
      </c>
      <c r="G341" s="183"/>
      <c r="H341" s="7"/>
      <c r="I341" s="7"/>
      <c r="J341" s="155"/>
      <c r="K341" s="126"/>
      <c r="L341" s="156"/>
    </row>
    <row r="342" spans="1:12" ht="15.75" x14ac:dyDescent="0.25">
      <c r="A342" s="139" t="str">
        <f>'работа 2 пат'!A325</f>
        <v>Тормозная жидкость G-Energy EXPERT DOT4 (0.910кг)</v>
      </c>
      <c r="B342" s="88" t="s">
        <v>93</v>
      </c>
      <c r="C342" s="88">
        <v>59</v>
      </c>
      <c r="D342" s="421">
        <f>PRODUCT(Лист1!G96,$A$228)</f>
        <v>0.52600000000000002</v>
      </c>
      <c r="E342" s="422">
        <f>Лист1!H96</f>
        <v>234</v>
      </c>
      <c r="F342" s="420">
        <f t="shared" si="26"/>
        <v>123.084</v>
      </c>
      <c r="G342" s="183"/>
      <c r="H342" s="7"/>
      <c r="I342" s="7"/>
      <c r="J342" s="155"/>
      <c r="K342" s="126"/>
      <c r="L342" s="156"/>
    </row>
    <row r="343" spans="1:12" ht="30" x14ac:dyDescent="0.25">
      <c r="A343" s="139" t="str">
        <f>'работа 2 пат'!A326</f>
        <v>Уплотнитель свечного колодца 406 дв.(ЕВРО-2)(Силикон синий) 406.1007248-10 (406.1007248-10)</v>
      </c>
      <c r="B343" s="88" t="s">
        <v>93</v>
      </c>
      <c r="C343" s="88">
        <v>60</v>
      </c>
      <c r="D343" s="421">
        <f>PRODUCT(Лист1!G97,$A$228)</f>
        <v>0.26300000000000001</v>
      </c>
      <c r="E343" s="422">
        <f>Лист1!H97</f>
        <v>96</v>
      </c>
      <c r="F343" s="420">
        <f t="shared" si="26"/>
        <v>25.248000000000001</v>
      </c>
      <c r="G343" s="183"/>
      <c r="H343" s="7"/>
      <c r="I343" s="7"/>
      <c r="J343" s="155"/>
      <c r="K343" s="126"/>
      <c r="L343" s="156"/>
    </row>
    <row r="344" spans="1:12" ht="15.75" x14ac:dyDescent="0.25">
      <c r="A344" s="139" t="str">
        <f>'работа 2 пат'!A327</f>
        <v>Утеплитель лобовой наружный с дверями УАЗ-452(ватин/венил/кожа)</v>
      </c>
      <c r="B344" s="88" t="s">
        <v>93</v>
      </c>
      <c r="C344" s="88">
        <v>61</v>
      </c>
      <c r="D344" s="421">
        <f>PRODUCT(Лист1!G98,$A$228)</f>
        <v>0.26300000000000001</v>
      </c>
      <c r="E344" s="422">
        <f>Лист1!H98</f>
        <v>1220</v>
      </c>
      <c r="F344" s="420">
        <f t="shared" si="26"/>
        <v>320.86</v>
      </c>
      <c r="G344" s="183"/>
      <c r="H344" s="7"/>
      <c r="I344" s="7"/>
      <c r="J344" s="155"/>
      <c r="K344" s="126"/>
      <c r="L344" s="156"/>
    </row>
    <row r="345" spans="1:12" ht="30" x14ac:dyDescent="0.25">
      <c r="A345" s="139" t="str">
        <f>'работа 2 пат'!A328</f>
        <v>Фильтр масляный MANN-FILTER W 914/2(W 812)(W 813)(W 914/2 n)(W 914/5)"10"</v>
      </c>
      <c r="B345" s="88" t="s">
        <v>93</v>
      </c>
      <c r="C345" s="88">
        <v>62</v>
      </c>
      <c r="D345" s="421">
        <f>PRODUCT(Лист1!G99,$A$228)</f>
        <v>1.052</v>
      </c>
      <c r="E345" s="422">
        <f>Лист1!H99</f>
        <v>330</v>
      </c>
      <c r="F345" s="420">
        <f t="shared" si="26"/>
        <v>347.16</v>
      </c>
      <c r="G345" s="183"/>
      <c r="H345" s="7"/>
      <c r="I345" s="7"/>
      <c r="J345" s="155"/>
      <c r="K345" s="126"/>
      <c r="L345" s="156"/>
    </row>
    <row r="346" spans="1:12" ht="30" x14ac:dyDescent="0.25">
      <c r="A346" s="139" t="str">
        <f>'работа 2 пат'!A329</f>
        <v>Фильтр топливный УАЗ ( инжектор штуцера с резьбой)УАЗ Оригиннал 3151-96-1117010 (3151-96-1117010)</v>
      </c>
      <c r="B346" s="88" t="s">
        <v>93</v>
      </c>
      <c r="C346" s="88">
        <v>63</v>
      </c>
      <c r="D346" s="421">
        <f>PRODUCT(Лист1!G100,$A$228)</f>
        <v>1.052</v>
      </c>
      <c r="E346" s="422">
        <f>Лист1!H100</f>
        <v>350</v>
      </c>
      <c r="F346" s="420">
        <f t="shared" si="26"/>
        <v>368.2</v>
      </c>
      <c r="G346" s="183"/>
      <c r="H346" s="7"/>
      <c r="I346" s="7"/>
      <c r="J346" s="155"/>
      <c r="K346" s="126"/>
      <c r="L346" s="156"/>
    </row>
    <row r="347" spans="1:12" ht="30" x14ac:dyDescent="0.25">
      <c r="A347" s="139" t="str">
        <f>'работа 2 пат'!A330</f>
        <v>Цилиндр тормозной задний УАЗ 3160,3162 Патриот(d=28мм)KNU 3160 3502040 (3160 3502040)</v>
      </c>
      <c r="B347" s="88" t="s">
        <v>93</v>
      </c>
      <c r="C347" s="88">
        <v>64</v>
      </c>
      <c r="D347" s="421">
        <f>PRODUCT(Лист1!G101,$A$228)</f>
        <v>1.052</v>
      </c>
      <c r="E347" s="422">
        <f>Лист1!H101</f>
        <v>545</v>
      </c>
      <c r="F347" s="420">
        <f t="shared" si="26"/>
        <v>573.34</v>
      </c>
      <c r="G347" s="183"/>
      <c r="H347" s="7"/>
      <c r="I347" s="7"/>
      <c r="J347" s="155"/>
      <c r="K347" s="126"/>
      <c r="L347" s="156"/>
    </row>
    <row r="348" spans="1:12" ht="15.75" x14ac:dyDescent="0.25">
      <c r="A348" s="139" t="str">
        <f>'работа 2 пат'!A331</f>
        <v>Шакл (скоба омегообр. с резьбой г/п 3,25т)тип G209 ХЛ</v>
      </c>
      <c r="B348" s="88" t="s">
        <v>93</v>
      </c>
      <c r="C348" s="88">
        <v>65</v>
      </c>
      <c r="D348" s="421">
        <f>PRODUCT(Лист1!G102,$A$228)</f>
        <v>0.26300000000000001</v>
      </c>
      <c r="E348" s="422">
        <f>Лист1!H102</f>
        <v>285</v>
      </c>
      <c r="F348" s="420">
        <f t="shared" si="26"/>
        <v>74.954999999999998</v>
      </c>
      <c r="G348" s="183"/>
      <c r="H348" s="7"/>
      <c r="I348" s="7"/>
      <c r="J348" s="155"/>
      <c r="K348" s="126"/>
      <c r="L348" s="156"/>
    </row>
    <row r="349" spans="1:12" ht="15.75" x14ac:dyDescent="0.25">
      <c r="A349" s="139" t="str">
        <f>'работа 2 пат'!A332</f>
        <v>Шкив помпы 406 дв текстолит 406.1308025-10 ( 406.1308025-10)</v>
      </c>
      <c r="B349" s="88" t="s">
        <v>93</v>
      </c>
      <c r="C349" s="88">
        <v>66</v>
      </c>
      <c r="D349" s="421">
        <f>PRODUCT(Лист1!G103,$A$228)</f>
        <v>0.78900000000000003</v>
      </c>
      <c r="E349" s="422">
        <f>Лист1!H103</f>
        <v>106</v>
      </c>
      <c r="F349" s="420">
        <f t="shared" si="26"/>
        <v>83.634</v>
      </c>
      <c r="G349" s="183"/>
      <c r="H349" s="7"/>
      <c r="I349" s="7"/>
      <c r="J349" s="155"/>
      <c r="K349" s="126"/>
      <c r="L349" s="156"/>
    </row>
    <row r="350" spans="1:12" ht="30" x14ac:dyDescent="0.25">
      <c r="A350" s="139" t="str">
        <f>'работа 2 пат'!A333</f>
        <v>Шланг тормозной задний УАЗ-452 инжектор.ЕВРО-4 3962-3506061 (3962-3506061)</v>
      </c>
      <c r="B350" s="88" t="s">
        <v>93</v>
      </c>
      <c r="C350" s="88">
        <v>67</v>
      </c>
      <c r="D350" s="421">
        <f>PRODUCT(Лист1!G104,$A$228)</f>
        <v>1.052</v>
      </c>
      <c r="E350" s="422">
        <f>Лист1!H104</f>
        <v>185</v>
      </c>
      <c r="F350" s="420">
        <f t="shared" si="26"/>
        <v>194.62</v>
      </c>
      <c r="G350" s="183"/>
      <c r="H350" s="7"/>
      <c r="I350" s="7"/>
      <c r="J350" s="155"/>
      <c r="K350" s="126"/>
      <c r="L350" s="156"/>
    </row>
    <row r="351" spans="1:12" ht="30" x14ac:dyDescent="0.25">
      <c r="A351" s="139" t="str">
        <f>'работа 2 пат'!A334</f>
        <v>Шланг тормозной передний УАЗ-452 инжектор Евро-4 3962-3506060 (3962-3506060)</v>
      </c>
      <c r="B351" s="88" t="s">
        <v>93</v>
      </c>
      <c r="C351" s="88">
        <v>68</v>
      </c>
      <c r="D351" s="421">
        <f>PRODUCT(Лист1!G105,$A$228)</f>
        <v>1.052</v>
      </c>
      <c r="E351" s="422">
        <f>Лист1!H105</f>
        <v>216</v>
      </c>
      <c r="F351" s="420">
        <f t="shared" si="26"/>
        <v>227.232</v>
      </c>
      <c r="G351" s="183"/>
      <c r="H351" s="7"/>
      <c r="I351" s="7"/>
      <c r="J351" s="155"/>
      <c r="K351" s="126"/>
      <c r="L351" s="156"/>
    </row>
    <row r="352" spans="1:12" ht="15.75" x14ac:dyDescent="0.25">
      <c r="A352" s="139" t="str">
        <f>'работа 2 пат'!A335</f>
        <v>Шпилька колеса М 14х1,5х45  ГАЗ 2410,УАЗ 20-3103008-Б (20-3103008-Б)</v>
      </c>
      <c r="B352" s="88" t="s">
        <v>93</v>
      </c>
      <c r="C352" s="88">
        <v>69</v>
      </c>
      <c r="D352" s="421">
        <f>PRODUCT(Лист1!G106,$A$228)</f>
        <v>5.26</v>
      </c>
      <c r="E352" s="422">
        <f>Лист1!H106</f>
        <v>21</v>
      </c>
      <c r="F352" s="420">
        <f t="shared" si="26"/>
        <v>110.46</v>
      </c>
      <c r="G352" s="183"/>
      <c r="H352" s="7"/>
      <c r="I352" s="7"/>
      <c r="J352" s="155"/>
      <c r="K352" s="126"/>
      <c r="L352" s="156"/>
    </row>
    <row r="353" spans="1:12" ht="30" x14ac:dyDescent="0.25">
      <c r="A353" s="139" t="str">
        <f>'работа 2 пат'!A336</f>
        <v>Элемент воздушного фильтра УАЗ 452 инжектор 4213,409 (низкий)Цитрон 9.1.97 1109080 (9.1.97 1109080)</v>
      </c>
      <c r="B353" s="88" t="s">
        <v>93</v>
      </c>
      <c r="C353" s="88">
        <v>70</v>
      </c>
      <c r="D353" s="421">
        <f>PRODUCT(Лист1!G107,$A$228)</f>
        <v>0.52600000000000002</v>
      </c>
      <c r="E353" s="422">
        <f>Лист1!H107</f>
        <v>357</v>
      </c>
      <c r="F353" s="420">
        <f t="shared" si="26"/>
        <v>187.78200000000001</v>
      </c>
      <c r="G353" s="183"/>
      <c r="H353" s="7"/>
      <c r="I353" s="7"/>
      <c r="J353" s="155"/>
      <c r="K353" s="126"/>
      <c r="L353" s="156"/>
    </row>
    <row r="354" spans="1:12" ht="15.75" x14ac:dyDescent="0.25">
      <c r="A354" s="139" t="str">
        <f>'работа 2 пат'!A337</f>
        <v>Кран шаровый</v>
      </c>
      <c r="B354" s="88" t="s">
        <v>93</v>
      </c>
      <c r="C354" s="88">
        <v>71</v>
      </c>
      <c r="D354" s="421">
        <f>PRODUCT(Лист1!G108,$A$228)</f>
        <v>0.26300000000000001</v>
      </c>
      <c r="E354" s="422">
        <f>Лист1!H108</f>
        <v>280</v>
      </c>
      <c r="F354" s="420">
        <f t="shared" si="26"/>
        <v>73.64</v>
      </c>
      <c r="G354" s="183"/>
      <c r="H354" s="7"/>
      <c r="I354" s="7"/>
      <c r="J354" s="155"/>
      <c r="K354" s="126"/>
      <c r="L354" s="156"/>
    </row>
    <row r="355" spans="1:12" ht="15.75" x14ac:dyDescent="0.25">
      <c r="A355" s="139" t="str">
        <f>'работа 2 пат'!A338</f>
        <v>Вода дист</v>
      </c>
      <c r="B355" s="88" t="s">
        <v>93</v>
      </c>
      <c r="C355" s="88">
        <v>72</v>
      </c>
      <c r="D355" s="421">
        <f>PRODUCT(Лист1!G109,$A$228)</f>
        <v>0.26300000000000001</v>
      </c>
      <c r="E355" s="422">
        <f>Лист1!H109</f>
        <v>50</v>
      </c>
      <c r="F355" s="420">
        <f t="shared" si="26"/>
        <v>13.15</v>
      </c>
      <c r="G355" s="183"/>
      <c r="H355" s="7"/>
      <c r="I355" s="7"/>
      <c r="J355" s="155"/>
      <c r="K355" s="126"/>
      <c r="L355" s="156"/>
    </row>
    <row r="356" spans="1:12" ht="15.75" x14ac:dyDescent="0.25">
      <c r="A356" s="139" t="str">
        <f>'работа 2 пат'!A339</f>
        <v>Кислота серная</v>
      </c>
      <c r="B356" s="88" t="s">
        <v>93</v>
      </c>
      <c r="C356" s="88">
        <v>73</v>
      </c>
      <c r="D356" s="421">
        <f>PRODUCT(Лист1!G110,$A$228)</f>
        <v>1.052</v>
      </c>
      <c r="E356" s="422">
        <f>Лист1!H110</f>
        <v>70</v>
      </c>
      <c r="F356" s="420">
        <f t="shared" si="26"/>
        <v>73.64</v>
      </c>
      <c r="G356" s="183"/>
      <c r="H356" s="7"/>
      <c r="I356" s="7"/>
      <c r="J356" s="155"/>
      <c r="K356" s="126"/>
      <c r="L356" s="156"/>
    </row>
    <row r="357" spans="1:12" ht="15.75" x14ac:dyDescent="0.25">
      <c r="A357" s="139" t="str">
        <f>'работа 2 пат'!A340</f>
        <v>Пакеты майка</v>
      </c>
      <c r="B357" s="88" t="s">
        <v>93</v>
      </c>
      <c r="C357" s="88">
        <v>74</v>
      </c>
      <c r="D357" s="421">
        <f>PRODUCT(Лист1!G111,$A$228)</f>
        <v>0.26300000000000001</v>
      </c>
      <c r="E357" s="422">
        <f>Лист1!H111</f>
        <v>5</v>
      </c>
      <c r="F357" s="420">
        <f t="shared" si="26"/>
        <v>1.3149999999999999</v>
      </c>
      <c r="G357" s="183"/>
      <c r="H357" s="7"/>
      <c r="I357" s="7"/>
      <c r="J357" s="155"/>
      <c r="K357" s="126"/>
      <c r="L357" s="156"/>
    </row>
    <row r="358" spans="1:12" ht="15.75" x14ac:dyDescent="0.25">
      <c r="A358" s="139" t="str">
        <f>'работа 2 пат'!A341</f>
        <v>Уголок мебельный</v>
      </c>
      <c r="B358" s="88" t="s">
        <v>93</v>
      </c>
      <c r="C358" s="88">
        <v>75</v>
      </c>
      <c r="D358" s="421">
        <f>PRODUCT(Лист1!G112,$A$228)</f>
        <v>2.63</v>
      </c>
      <c r="E358" s="422">
        <f>Лист1!H112</f>
        <v>7</v>
      </c>
      <c r="F358" s="420">
        <f t="shared" si="26"/>
        <v>18.41</v>
      </c>
      <c r="G358" s="183"/>
      <c r="H358" s="7"/>
      <c r="I358" s="7"/>
      <c r="J358" s="155"/>
      <c r="K358" s="126"/>
      <c r="L358" s="156"/>
    </row>
    <row r="359" spans="1:12" ht="15.75" x14ac:dyDescent="0.25">
      <c r="A359" s="139" t="str">
        <f>'работа 2 пат'!A342</f>
        <v>Саморез по гипсокартону</v>
      </c>
      <c r="B359" s="88" t="s">
        <v>93</v>
      </c>
      <c r="C359" s="88">
        <v>76</v>
      </c>
      <c r="D359" s="421">
        <f>PRODUCT(Лист1!G113,$A$228)</f>
        <v>52.6</v>
      </c>
      <c r="E359" s="422">
        <f>Лист1!H113</f>
        <v>0.4</v>
      </c>
      <c r="F359" s="420">
        <f t="shared" si="26"/>
        <v>21.040000000000003</v>
      </c>
      <c r="G359" s="183"/>
      <c r="H359" s="7"/>
      <c r="I359" s="7"/>
      <c r="J359" s="155"/>
      <c r="K359" s="126"/>
      <c r="L359" s="156"/>
    </row>
    <row r="360" spans="1:12" ht="15.75" x14ac:dyDescent="0.25">
      <c r="A360" s="139" t="str">
        <f>'работа 2 пат'!A343</f>
        <v>Доместос</v>
      </c>
      <c r="B360" s="88" t="s">
        <v>93</v>
      </c>
      <c r="C360" s="88">
        <v>77</v>
      </c>
      <c r="D360" s="421">
        <f>PRODUCT(Лист1!G114,$A$228)</f>
        <v>1.3149999999999999</v>
      </c>
      <c r="E360" s="422">
        <f>Лист1!H114</f>
        <v>175</v>
      </c>
      <c r="F360" s="420">
        <f t="shared" si="26"/>
        <v>230.125</v>
      </c>
      <c r="G360" s="183"/>
      <c r="H360" s="7"/>
      <c r="I360" s="7"/>
      <c r="J360" s="155"/>
      <c r="K360" s="126"/>
      <c r="L360" s="156"/>
    </row>
    <row r="361" spans="1:12" ht="15.75" x14ac:dyDescent="0.25">
      <c r="A361" s="139" t="str">
        <f>'работа 2 пат'!A344</f>
        <v>Белизна</v>
      </c>
      <c r="B361" s="88" t="s">
        <v>93</v>
      </c>
      <c r="C361" s="88">
        <v>78</v>
      </c>
      <c r="D361" s="421">
        <f>PRODUCT(Лист1!G115,$A$228)</f>
        <v>1.3149999999999999</v>
      </c>
      <c r="E361" s="422">
        <f>Лист1!H115</f>
        <v>53</v>
      </c>
      <c r="F361" s="420">
        <f t="shared" si="26"/>
        <v>69.694999999999993</v>
      </c>
      <c r="G361" s="183"/>
      <c r="H361" s="7"/>
      <c r="I361" s="7"/>
      <c r="J361" s="155"/>
      <c r="K361" s="126"/>
      <c r="L361" s="156"/>
    </row>
    <row r="362" spans="1:12" ht="15.75" x14ac:dyDescent="0.25">
      <c r="A362" s="139" t="str">
        <f>'работа 2 пат'!A345</f>
        <v xml:space="preserve">Пемолюкс </v>
      </c>
      <c r="B362" s="88" t="s">
        <v>93</v>
      </c>
      <c r="C362" s="88">
        <v>79</v>
      </c>
      <c r="D362" s="421">
        <f>PRODUCT(Лист1!G116,$A$228)</f>
        <v>3.9450000000000003</v>
      </c>
      <c r="E362" s="422">
        <f>Лист1!H116</f>
        <v>60</v>
      </c>
      <c r="F362" s="420">
        <f t="shared" si="26"/>
        <v>236.70000000000002</v>
      </c>
      <c r="G362" s="183"/>
      <c r="H362" s="7"/>
      <c r="I362" s="7"/>
      <c r="J362" s="155"/>
      <c r="K362" s="126"/>
      <c r="L362" s="156"/>
    </row>
    <row r="363" spans="1:12" ht="15.75" x14ac:dyDescent="0.25">
      <c r="A363" s="139" t="str">
        <f>'работа 2 пат'!A346</f>
        <v>Мыло</v>
      </c>
      <c r="B363" s="88" t="s">
        <v>93</v>
      </c>
      <c r="C363" s="88">
        <v>80</v>
      </c>
      <c r="D363" s="421">
        <f>PRODUCT(Лист1!G117,$A$228)</f>
        <v>0.26300000000000001</v>
      </c>
      <c r="E363" s="422">
        <f>Лист1!H117</f>
        <v>132</v>
      </c>
      <c r="F363" s="420">
        <f t="shared" ref="F363:F426" si="27">D363*E363</f>
        <v>34.716000000000001</v>
      </c>
      <c r="G363" s="183"/>
      <c r="H363" s="7"/>
      <c r="I363" s="7"/>
      <c r="J363" s="155"/>
      <c r="K363" s="126"/>
      <c r="L363" s="156"/>
    </row>
    <row r="364" spans="1:12" ht="15.75" x14ac:dyDescent="0.25">
      <c r="A364" s="139" t="str">
        <f>'работа 2 пат'!A347</f>
        <v>Стеклоочиститель с распылителем</v>
      </c>
      <c r="B364" s="88" t="s">
        <v>93</v>
      </c>
      <c r="C364" s="88">
        <v>81</v>
      </c>
      <c r="D364" s="421">
        <f>PRODUCT(Лист1!G118,$A$228)</f>
        <v>0.26300000000000001</v>
      </c>
      <c r="E364" s="422">
        <f>Лист1!H118</f>
        <v>255</v>
      </c>
      <c r="F364" s="420">
        <f t="shared" si="27"/>
        <v>67.064999999999998</v>
      </c>
      <c r="G364" s="183"/>
      <c r="H364" s="7"/>
      <c r="I364" s="7"/>
      <c r="J364" s="155"/>
      <c r="K364" s="126"/>
      <c r="L364" s="156"/>
    </row>
    <row r="365" spans="1:12" ht="15.75" x14ac:dyDescent="0.25">
      <c r="A365" s="139" t="str">
        <f>'работа 2 пат'!A348</f>
        <v>Стеклоочиститель (сменный блок)</v>
      </c>
      <c r="B365" s="88" t="s">
        <v>93</v>
      </c>
      <c r="C365" s="88">
        <v>82</v>
      </c>
      <c r="D365" s="421">
        <f>PRODUCT(Лист1!G119,$A$228)</f>
        <v>0.26300000000000001</v>
      </c>
      <c r="E365" s="422">
        <f>Лист1!H119</f>
        <v>55</v>
      </c>
      <c r="F365" s="420">
        <f t="shared" si="27"/>
        <v>14.465</v>
      </c>
      <c r="G365" s="183"/>
      <c r="H365" s="7"/>
      <c r="I365" s="7"/>
      <c r="J365" s="155"/>
      <c r="K365" s="126"/>
      <c r="L365" s="156"/>
    </row>
    <row r="366" spans="1:12" ht="15.75" x14ac:dyDescent="0.25">
      <c r="A366" s="139" t="str">
        <f>'работа 2 пат'!A349</f>
        <v>Губки</v>
      </c>
      <c r="B366" s="88" t="s">
        <v>93</v>
      </c>
      <c r="C366" s="88">
        <v>83</v>
      </c>
      <c r="D366" s="421">
        <f>PRODUCT(Лист1!G120,$A$228)</f>
        <v>0.52600000000000002</v>
      </c>
      <c r="E366" s="422">
        <f>Лист1!H120</f>
        <v>220</v>
      </c>
      <c r="F366" s="420">
        <f t="shared" si="27"/>
        <v>115.72</v>
      </c>
      <c r="G366" s="183"/>
      <c r="H366" s="7"/>
      <c r="I366" s="7"/>
      <c r="J366" s="155"/>
      <c r="K366" s="126"/>
      <c r="L366" s="156"/>
    </row>
    <row r="367" spans="1:12" ht="15.75" x14ac:dyDescent="0.25">
      <c r="A367" s="139" t="str">
        <f>'работа 2 пат'!A350</f>
        <v>Моющее средство МИФ</v>
      </c>
      <c r="B367" s="88" t="s">
        <v>93</v>
      </c>
      <c r="C367" s="88">
        <v>84</v>
      </c>
      <c r="D367" s="421">
        <f>PRODUCT(Лист1!G121,$A$228)</f>
        <v>1.3149999999999999</v>
      </c>
      <c r="E367" s="422">
        <f>Лист1!H121</f>
        <v>115</v>
      </c>
      <c r="F367" s="420">
        <f t="shared" si="27"/>
        <v>151.22499999999999</v>
      </c>
      <c r="G367" s="183"/>
      <c r="H367" s="7"/>
      <c r="I367" s="7"/>
      <c r="J367" s="155"/>
      <c r="K367" s="126"/>
      <c r="L367" s="156"/>
    </row>
    <row r="368" spans="1:12" ht="15.75" x14ac:dyDescent="0.25">
      <c r="A368" s="139" t="str">
        <f>'работа 2 пат'!A351</f>
        <v>Тряпка вискозная</v>
      </c>
      <c r="B368" s="88" t="s">
        <v>93</v>
      </c>
      <c r="C368" s="88">
        <v>85</v>
      </c>
      <c r="D368" s="421">
        <f>PRODUCT(Лист1!G122,$A$228)</f>
        <v>1.3149999999999999</v>
      </c>
      <c r="E368" s="422">
        <f>Лист1!H122</f>
        <v>70</v>
      </c>
      <c r="F368" s="420">
        <f t="shared" si="27"/>
        <v>92.05</v>
      </c>
      <c r="G368" s="183"/>
      <c r="H368" s="7"/>
      <c r="I368" s="7"/>
      <c r="J368" s="155"/>
      <c r="K368" s="126"/>
      <c r="L368" s="156"/>
    </row>
    <row r="369" spans="1:12" ht="15.75" x14ac:dyDescent="0.25">
      <c r="A369" s="139" t="str">
        <f>'работа 2 пат'!A352</f>
        <v>Тряпки</v>
      </c>
      <c r="B369" s="88" t="s">
        <v>93</v>
      </c>
      <c r="C369" s="88">
        <v>86</v>
      </c>
      <c r="D369" s="421">
        <f>PRODUCT(Лист1!G123,$A$228)</f>
        <v>1.3149999999999999</v>
      </c>
      <c r="E369" s="422">
        <f>Лист1!H123</f>
        <v>170</v>
      </c>
      <c r="F369" s="420">
        <f t="shared" si="27"/>
        <v>223.54999999999998</v>
      </c>
      <c r="G369" s="183"/>
      <c r="H369" s="7"/>
      <c r="I369" s="7"/>
      <c r="J369" s="155"/>
      <c r="K369" s="126"/>
      <c r="L369" s="156"/>
    </row>
    <row r="370" spans="1:12" ht="15.75" x14ac:dyDescent="0.25">
      <c r="A370" s="139" t="str">
        <f>'работа 2 пат'!A353</f>
        <v>Полотенца бумажные</v>
      </c>
      <c r="B370" s="88" t="s">
        <v>93</v>
      </c>
      <c r="C370" s="88">
        <v>87</v>
      </c>
      <c r="D370" s="421">
        <f>PRODUCT(Лист1!G124,$A$228)</f>
        <v>1.3149999999999999</v>
      </c>
      <c r="E370" s="422">
        <f>Лист1!H124</f>
        <v>95</v>
      </c>
      <c r="F370" s="420">
        <f t="shared" si="27"/>
        <v>124.925</v>
      </c>
      <c r="G370" s="183"/>
      <c r="H370" s="7"/>
      <c r="I370" s="7"/>
      <c r="J370" s="155"/>
      <c r="K370" s="126"/>
      <c r="L370" s="156"/>
    </row>
    <row r="371" spans="1:12" ht="15.75" x14ac:dyDescent="0.25">
      <c r="A371" s="139" t="str">
        <f>'работа 2 пат'!A354</f>
        <v>Железная губка</v>
      </c>
      <c r="B371" s="88" t="s">
        <v>93</v>
      </c>
      <c r="C371" s="88">
        <v>88</v>
      </c>
      <c r="D371" s="421">
        <f>PRODUCT(Лист1!G125,$A$228)</f>
        <v>0.52600000000000002</v>
      </c>
      <c r="E371" s="422">
        <f>Лист1!H125</f>
        <v>30</v>
      </c>
      <c r="F371" s="420">
        <f t="shared" si="27"/>
        <v>15.780000000000001</v>
      </c>
      <c r="G371" s="183"/>
      <c r="H371" s="7"/>
      <c r="I371" s="7"/>
      <c r="J371" s="155"/>
      <c r="K371" s="128"/>
      <c r="L371" s="156"/>
    </row>
    <row r="372" spans="1:12" ht="15.75" x14ac:dyDescent="0.25">
      <c r="A372" s="139" t="str">
        <f>'работа 2 пат'!A355</f>
        <v>Перчатки</v>
      </c>
      <c r="B372" s="88" t="s">
        <v>93</v>
      </c>
      <c r="C372" s="88">
        <v>89</v>
      </c>
      <c r="D372" s="421">
        <f>PRODUCT(Лист1!G126,$A$228)</f>
        <v>1.3149999999999999</v>
      </c>
      <c r="E372" s="422">
        <f>Лист1!H126</f>
        <v>60</v>
      </c>
      <c r="F372" s="420">
        <f t="shared" si="27"/>
        <v>78.899999999999991</v>
      </c>
      <c r="G372" s="183"/>
      <c r="H372" s="7"/>
      <c r="I372" s="7"/>
      <c r="J372" s="155"/>
      <c r="K372" s="128"/>
      <c r="L372" s="156"/>
    </row>
    <row r="373" spans="1:12" ht="15.75" x14ac:dyDescent="0.25">
      <c r="A373" s="139" t="str">
        <f>'работа 2 пат'!A356</f>
        <v>Блок гигиенический для унитаза</v>
      </c>
      <c r="B373" s="88" t="s">
        <v>93</v>
      </c>
      <c r="C373" s="88">
        <v>90</v>
      </c>
      <c r="D373" s="421">
        <f>PRODUCT(Лист1!G127,$A$228)</f>
        <v>0.52600000000000002</v>
      </c>
      <c r="E373" s="422">
        <f>Лист1!H127</f>
        <v>90</v>
      </c>
      <c r="F373" s="420">
        <f t="shared" si="27"/>
        <v>47.34</v>
      </c>
      <c r="G373" s="183"/>
      <c r="H373" s="7"/>
      <c r="I373" s="7"/>
      <c r="J373" s="155"/>
      <c r="K373" s="128"/>
      <c r="L373" s="156"/>
    </row>
    <row r="374" spans="1:12" ht="15.75" x14ac:dyDescent="0.25">
      <c r="A374" s="139" t="str">
        <f>'работа 2 пат'!A357</f>
        <v>Мыло</v>
      </c>
      <c r="B374" s="88" t="s">
        <v>93</v>
      </c>
      <c r="C374" s="88">
        <v>91</v>
      </c>
      <c r="D374" s="421">
        <f>PRODUCT(Лист1!G128,$A$228)</f>
        <v>1.3149999999999999</v>
      </c>
      <c r="E374" s="422">
        <f>Лист1!H128</f>
        <v>45</v>
      </c>
      <c r="F374" s="420">
        <f t="shared" si="27"/>
        <v>59.174999999999997</v>
      </c>
      <c r="G374" s="183"/>
      <c r="H374" s="7"/>
      <c r="I374" s="7"/>
      <c r="J374" s="155"/>
      <c r="K374" s="128"/>
      <c r="L374" s="156"/>
    </row>
    <row r="375" spans="1:12" ht="15.75" x14ac:dyDescent="0.25">
      <c r="A375" s="139" t="str">
        <f>'работа 2 пат'!A358</f>
        <v>Мешки для мусора 60 л</v>
      </c>
      <c r="B375" s="88" t="s">
        <v>93</v>
      </c>
      <c r="C375" s="88">
        <v>92</v>
      </c>
      <c r="D375" s="421">
        <f>PRODUCT(Лист1!G129,$A$228)</f>
        <v>2.63</v>
      </c>
      <c r="E375" s="422">
        <f>Лист1!H129</f>
        <v>90</v>
      </c>
      <c r="F375" s="420">
        <f t="shared" si="27"/>
        <v>236.7</v>
      </c>
      <c r="G375" s="183"/>
      <c r="H375" s="7"/>
      <c r="I375" s="7"/>
      <c r="J375" s="155"/>
      <c r="K375" s="128"/>
      <c r="L375" s="156"/>
    </row>
    <row r="376" spans="1:12" ht="15.75" x14ac:dyDescent="0.25">
      <c r="A376" s="139" t="str">
        <f>'работа 2 пат'!A359</f>
        <v>Мешки для мусора 120 л</v>
      </c>
      <c r="B376" s="88" t="s">
        <v>93</v>
      </c>
      <c r="C376" s="88">
        <v>93</v>
      </c>
      <c r="D376" s="421">
        <f>PRODUCT(Лист1!G130,$A$228)</f>
        <v>1.3149999999999999</v>
      </c>
      <c r="E376" s="422">
        <f>Лист1!H130</f>
        <v>100</v>
      </c>
      <c r="F376" s="420">
        <f t="shared" si="27"/>
        <v>131.5</v>
      </c>
      <c r="G376" s="183"/>
      <c r="H376" s="7"/>
      <c r="I376" s="7"/>
      <c r="J376" s="155"/>
      <c r="K376" s="128"/>
      <c r="L376" s="156"/>
    </row>
    <row r="377" spans="1:12" ht="15.75" x14ac:dyDescent="0.25">
      <c r="A377" s="139" t="str">
        <f>'работа 2 пат'!A360</f>
        <v>Мешки для мусора 35 л</v>
      </c>
      <c r="B377" s="88" t="s">
        <v>93</v>
      </c>
      <c r="C377" s="88">
        <v>94</v>
      </c>
      <c r="D377" s="421">
        <f>PRODUCT(Лист1!G131,$A$228)</f>
        <v>2.63</v>
      </c>
      <c r="E377" s="422">
        <f>Лист1!H131</f>
        <v>50</v>
      </c>
      <c r="F377" s="420">
        <f t="shared" si="27"/>
        <v>131.5</v>
      </c>
      <c r="G377" s="183"/>
      <c r="H377" s="7"/>
      <c r="I377" s="7"/>
      <c r="J377" s="155"/>
      <c r="K377" s="128"/>
      <c r="L377" s="156"/>
    </row>
    <row r="378" spans="1:12" ht="15.75" x14ac:dyDescent="0.25">
      <c r="A378" s="139" t="str">
        <f>'работа 2 пат'!A361</f>
        <v>Туалетная бумага</v>
      </c>
      <c r="B378" s="88" t="s">
        <v>93</v>
      </c>
      <c r="C378" s="88">
        <v>95</v>
      </c>
      <c r="D378" s="421">
        <f>PRODUCT(Лист1!G132,$A$228)</f>
        <v>12.624000000000001</v>
      </c>
      <c r="E378" s="422">
        <f>Лист1!H132</f>
        <v>18</v>
      </c>
      <c r="F378" s="420">
        <f t="shared" si="27"/>
        <v>227.232</v>
      </c>
      <c r="G378" s="183"/>
      <c r="H378" s="7"/>
      <c r="I378" s="7"/>
      <c r="J378" s="155"/>
      <c r="K378" s="128"/>
      <c r="L378" s="156"/>
    </row>
    <row r="379" spans="1:12" ht="15.75" x14ac:dyDescent="0.25">
      <c r="A379" s="139" t="str">
        <f>'работа 2 пат'!A362</f>
        <v>Салфетка</v>
      </c>
      <c r="B379" s="88" t="s">
        <v>93</v>
      </c>
      <c r="C379" s="88">
        <v>96</v>
      </c>
      <c r="D379" s="421">
        <f>PRODUCT(Лист1!G133,$A$228)</f>
        <v>1.3149999999999999</v>
      </c>
      <c r="E379" s="422">
        <f>Лист1!H133</f>
        <v>30</v>
      </c>
      <c r="F379" s="420">
        <f t="shared" si="27"/>
        <v>39.449999999999996</v>
      </c>
      <c r="G379" s="183"/>
      <c r="H379" s="7"/>
      <c r="I379" s="7"/>
      <c r="J379" s="155"/>
      <c r="K379" s="128"/>
      <c r="L379" s="156"/>
    </row>
    <row r="380" spans="1:12" ht="15.75" x14ac:dyDescent="0.25">
      <c r="A380" s="139" t="str">
        <f>'работа 2 пат'!A363</f>
        <v>Пакет</v>
      </c>
      <c r="B380" s="88" t="s">
        <v>93</v>
      </c>
      <c r="C380" s="88">
        <v>97</v>
      </c>
      <c r="D380" s="421">
        <f>PRODUCT(Лист1!G134,$A$228)</f>
        <v>0.78900000000000003</v>
      </c>
      <c r="E380" s="422">
        <f>Лист1!H134</f>
        <v>5</v>
      </c>
      <c r="F380" s="420">
        <f t="shared" si="27"/>
        <v>3.9450000000000003</v>
      </c>
      <c r="G380" s="183"/>
      <c r="H380" s="7"/>
      <c r="I380" s="7"/>
      <c r="J380" s="155"/>
      <c r="K380" s="128"/>
      <c r="L380" s="156"/>
    </row>
    <row r="381" spans="1:12" ht="15.75" x14ac:dyDescent="0.25">
      <c r="A381" s="139" t="str">
        <f>'работа 2 пат'!A364</f>
        <v>Жидкое мыло</v>
      </c>
      <c r="B381" s="88" t="s">
        <v>93</v>
      </c>
      <c r="C381" s="88">
        <v>98</v>
      </c>
      <c r="D381" s="421">
        <f>PRODUCT(Лист1!G135,$A$228)</f>
        <v>1.3149999999999999</v>
      </c>
      <c r="E381" s="422">
        <f>Лист1!H135</f>
        <v>260</v>
      </c>
      <c r="F381" s="420">
        <f t="shared" si="27"/>
        <v>341.9</v>
      </c>
      <c r="G381" s="183"/>
      <c r="H381" s="7"/>
      <c r="I381" s="7"/>
      <c r="J381" s="155"/>
      <c r="K381" s="128"/>
      <c r="L381" s="156"/>
    </row>
    <row r="382" spans="1:12" ht="15.75" x14ac:dyDescent="0.25">
      <c r="A382" s="139" t="str">
        <f>'работа 2 пат'!A365</f>
        <v>Стеклоочиститель</v>
      </c>
      <c r="B382" s="88" t="s">
        <v>93</v>
      </c>
      <c r="C382" s="88">
        <v>99</v>
      </c>
      <c r="D382" s="421">
        <f>PRODUCT(Лист1!G136,$A$228)</f>
        <v>0.78900000000000003</v>
      </c>
      <c r="E382" s="422">
        <f>Лист1!H136</f>
        <v>55</v>
      </c>
      <c r="F382" s="420">
        <f t="shared" si="27"/>
        <v>43.395000000000003</v>
      </c>
      <c r="G382" s="183"/>
      <c r="H382" s="7"/>
      <c r="I382" s="7"/>
      <c r="J382" s="155"/>
      <c r="K382" s="128"/>
      <c r="L382" s="156"/>
    </row>
    <row r="383" spans="1:12" ht="15.75" x14ac:dyDescent="0.25">
      <c r="A383" s="139" t="str">
        <f>'работа 2 пат'!A366</f>
        <v>Блок для записи маленький</v>
      </c>
      <c r="B383" s="88" t="s">
        <v>93</v>
      </c>
      <c r="C383" s="88">
        <v>100</v>
      </c>
      <c r="D383" s="421">
        <f>PRODUCT(Лист1!G137,$A$228)</f>
        <v>0.52600000000000002</v>
      </c>
      <c r="E383" s="422">
        <f>Лист1!H137</f>
        <v>70</v>
      </c>
      <c r="F383" s="420">
        <f t="shared" si="27"/>
        <v>36.82</v>
      </c>
      <c r="G383" s="183"/>
      <c r="H383" s="7"/>
      <c r="I383" s="7"/>
      <c r="J383" s="155"/>
      <c r="K383" s="128"/>
      <c r="L383" s="156"/>
    </row>
    <row r="384" spans="1:12" ht="15.75" x14ac:dyDescent="0.25">
      <c r="A384" s="139" t="str">
        <f>'работа 2 пат'!A367</f>
        <v>Блок для записи большой</v>
      </c>
      <c r="B384" s="88" t="s">
        <v>93</v>
      </c>
      <c r="C384" s="88">
        <v>101</v>
      </c>
      <c r="D384" s="421">
        <f>PRODUCT(Лист1!G138,$A$228)</f>
        <v>0.78900000000000003</v>
      </c>
      <c r="E384" s="422">
        <f>Лист1!H138</f>
        <v>80</v>
      </c>
      <c r="F384" s="420">
        <f t="shared" si="27"/>
        <v>63.120000000000005</v>
      </c>
      <c r="G384" s="183"/>
      <c r="H384" s="7"/>
      <c r="I384" s="7"/>
      <c r="J384" s="155"/>
      <c r="K384" s="128"/>
      <c r="L384" s="156"/>
    </row>
    <row r="385" spans="1:12" ht="15.75" x14ac:dyDescent="0.25">
      <c r="A385" s="139" t="str">
        <f>'работа 2 пат'!A368</f>
        <v>Скрепки</v>
      </c>
      <c r="B385" s="88" t="s">
        <v>93</v>
      </c>
      <c r="C385" s="88">
        <v>102</v>
      </c>
      <c r="D385" s="421">
        <f>PRODUCT(Лист1!G139,$A$228)</f>
        <v>2.63</v>
      </c>
      <c r="E385" s="422">
        <f>Лист1!H139</f>
        <v>60</v>
      </c>
      <c r="F385" s="420">
        <f t="shared" si="27"/>
        <v>157.79999999999998</v>
      </c>
      <c r="G385" s="183"/>
      <c r="H385" s="7"/>
      <c r="I385" s="7"/>
      <c r="J385" s="155"/>
      <c r="K385" s="128"/>
      <c r="L385" s="156"/>
    </row>
    <row r="386" spans="1:12" ht="15.75" x14ac:dyDescent="0.25">
      <c r="A386" s="139" t="str">
        <f>'работа 2 пат'!A369</f>
        <v>Кнопки</v>
      </c>
      <c r="B386" s="88" t="s">
        <v>93</v>
      </c>
      <c r="C386" s="88">
        <v>103</v>
      </c>
      <c r="D386" s="421">
        <f>PRODUCT(Лист1!G140,$A$228)</f>
        <v>2.63</v>
      </c>
      <c r="E386" s="422">
        <f>Лист1!H140</f>
        <v>30</v>
      </c>
      <c r="F386" s="420">
        <f t="shared" si="27"/>
        <v>78.899999999999991</v>
      </c>
      <c r="G386" s="183"/>
      <c r="H386" s="7"/>
      <c r="I386" s="7"/>
      <c r="J386" s="155"/>
      <c r="K386" s="128"/>
      <c r="L386" s="156"/>
    </row>
    <row r="387" spans="1:12" ht="15.75" x14ac:dyDescent="0.25">
      <c r="A387" s="139" t="str">
        <f>'работа 2 пат'!A370</f>
        <v>Кнопки</v>
      </c>
      <c r="B387" s="88" t="s">
        <v>93</v>
      </c>
      <c r="C387" s="88">
        <v>104</v>
      </c>
      <c r="D387" s="421">
        <f>PRODUCT(Лист1!G141,$A$228)</f>
        <v>1.3149999999999999</v>
      </c>
      <c r="E387" s="422">
        <f>Лист1!H141</f>
        <v>70</v>
      </c>
      <c r="F387" s="420">
        <f t="shared" si="27"/>
        <v>92.05</v>
      </c>
      <c r="G387" s="183"/>
      <c r="H387" s="7"/>
      <c r="I387" s="7"/>
      <c r="J387" s="155"/>
      <c r="K387" s="128"/>
      <c r="L387" s="156"/>
    </row>
    <row r="388" spans="1:12" ht="15.75" x14ac:dyDescent="0.25">
      <c r="A388" s="139" t="str">
        <f>'работа 2 пат'!A371</f>
        <v>Степлер №10</v>
      </c>
      <c r="B388" s="88" t="s">
        <v>93</v>
      </c>
      <c r="C388" s="88">
        <v>105</v>
      </c>
      <c r="D388" s="421">
        <f>PRODUCT(Лист1!G142,$A$228)</f>
        <v>0.26300000000000001</v>
      </c>
      <c r="E388" s="422">
        <f>Лист1!H142</f>
        <v>180</v>
      </c>
      <c r="F388" s="420">
        <f t="shared" si="27"/>
        <v>47.34</v>
      </c>
      <c r="G388" s="183"/>
      <c r="H388" s="7"/>
      <c r="I388" s="7"/>
      <c r="J388" s="155"/>
      <c r="K388" s="128"/>
      <c r="L388" s="156"/>
    </row>
    <row r="389" spans="1:12" ht="15.75" x14ac:dyDescent="0.25">
      <c r="A389" s="139" t="str">
        <f>'работа 2 пат'!A372</f>
        <v>Степлер №24</v>
      </c>
      <c r="B389" s="88" t="s">
        <v>93</v>
      </c>
      <c r="C389" s="88">
        <v>106</v>
      </c>
      <c r="D389" s="421">
        <f>PRODUCT(Лист1!G143,$A$228)</f>
        <v>0.26300000000000001</v>
      </c>
      <c r="E389" s="422">
        <f>Лист1!H143</f>
        <v>340</v>
      </c>
      <c r="F389" s="420">
        <f t="shared" si="27"/>
        <v>89.42</v>
      </c>
      <c r="G389" s="183"/>
      <c r="H389" s="7"/>
      <c r="I389" s="7"/>
      <c r="J389" s="155"/>
      <c r="K389" s="128"/>
      <c r="L389" s="156"/>
    </row>
    <row r="390" spans="1:12" ht="15.75" x14ac:dyDescent="0.25">
      <c r="A390" s="139" t="str">
        <f>'работа 2 пат'!A373</f>
        <v>Степлер №21</v>
      </c>
      <c r="B390" s="88" t="s">
        <v>93</v>
      </c>
      <c r="C390" s="88">
        <v>107</v>
      </c>
      <c r="D390" s="421">
        <f>PRODUCT(Лист1!G144,$A$228)</f>
        <v>0.78900000000000003</v>
      </c>
      <c r="E390" s="422">
        <f>Лист1!H144</f>
        <v>210</v>
      </c>
      <c r="F390" s="420">
        <f t="shared" si="27"/>
        <v>165.69</v>
      </c>
      <c r="G390" s="183"/>
      <c r="H390" s="7"/>
      <c r="I390" s="7"/>
      <c r="J390" s="155"/>
      <c r="K390" s="128"/>
      <c r="L390" s="156"/>
    </row>
    <row r="391" spans="1:12" ht="15.75" x14ac:dyDescent="0.25">
      <c r="A391" s="139" t="str">
        <f>'работа 2 пат'!A374</f>
        <v>Скобы для степлера (большие)</v>
      </c>
      <c r="B391" s="88" t="s">
        <v>93</v>
      </c>
      <c r="C391" s="88">
        <v>108</v>
      </c>
      <c r="D391" s="421">
        <f>PRODUCT(Лист1!G145,$A$228)</f>
        <v>5.26</v>
      </c>
      <c r="E391" s="422">
        <f>Лист1!H145</f>
        <v>20</v>
      </c>
      <c r="F391" s="420">
        <f t="shared" si="27"/>
        <v>105.19999999999999</v>
      </c>
      <c r="G391" s="183"/>
      <c r="H391" s="7"/>
      <c r="I391" s="7"/>
      <c r="J391" s="155"/>
      <c r="K391" s="128"/>
      <c r="L391" s="156"/>
    </row>
    <row r="392" spans="1:12" ht="15.75" x14ac:dyDescent="0.25">
      <c r="A392" s="139" t="str">
        <f>'работа 2 пат'!A375</f>
        <v>Скобы для степлера (маленькие)</v>
      </c>
      <c r="B392" s="88" t="s">
        <v>93</v>
      </c>
      <c r="C392" s="88">
        <v>109</v>
      </c>
      <c r="D392" s="421">
        <f>PRODUCT(Лист1!G146,$A$228)</f>
        <v>2.63</v>
      </c>
      <c r="E392" s="422">
        <f>Лист1!H146</f>
        <v>50</v>
      </c>
      <c r="F392" s="420">
        <f t="shared" si="27"/>
        <v>131.5</v>
      </c>
      <c r="G392" s="183"/>
      <c r="H392" s="7"/>
      <c r="I392" s="7"/>
      <c r="J392" s="155"/>
      <c r="K392" s="128"/>
      <c r="L392" s="156"/>
    </row>
    <row r="393" spans="1:12" ht="15.75" x14ac:dyDescent="0.25">
      <c r="A393" s="139" t="str">
        <f>'работа 2 пат'!A376</f>
        <v>Ножницы маленькие</v>
      </c>
      <c r="B393" s="88" t="s">
        <v>93</v>
      </c>
      <c r="C393" s="88">
        <v>110</v>
      </c>
      <c r="D393" s="421">
        <f>PRODUCT(Лист1!G147,$A$228)</f>
        <v>0.78900000000000003</v>
      </c>
      <c r="E393" s="422">
        <f>Лист1!H147</f>
        <v>110</v>
      </c>
      <c r="F393" s="420">
        <f t="shared" si="27"/>
        <v>86.79</v>
      </c>
      <c r="G393" s="183"/>
      <c r="H393" s="7"/>
      <c r="I393" s="7"/>
      <c r="J393" s="155"/>
      <c r="K393" s="128"/>
      <c r="L393" s="156"/>
    </row>
    <row r="394" spans="1:12" ht="15.75" x14ac:dyDescent="0.25">
      <c r="A394" s="139" t="str">
        <f>'работа 2 пат'!A377</f>
        <v xml:space="preserve">Ножницы большие </v>
      </c>
      <c r="B394" s="88" t="s">
        <v>93</v>
      </c>
      <c r="C394" s="88">
        <v>111</v>
      </c>
      <c r="D394" s="421">
        <f>PRODUCT(Лист1!G148,$A$228)</f>
        <v>0.26300000000000001</v>
      </c>
      <c r="E394" s="422">
        <f>Лист1!H148</f>
        <v>140</v>
      </c>
      <c r="F394" s="420">
        <f t="shared" si="27"/>
        <v>36.82</v>
      </c>
      <c r="G394" s="183"/>
      <c r="H394" s="7"/>
      <c r="I394" s="7"/>
      <c r="J394" s="155"/>
      <c r="K394" s="128"/>
      <c r="L394" s="156"/>
    </row>
    <row r="395" spans="1:12" ht="15.75" x14ac:dyDescent="0.25">
      <c r="A395" s="139" t="str">
        <f>'работа 2 пат'!A378</f>
        <v>Ножницы</v>
      </c>
      <c r="B395" s="88" t="s">
        <v>93</v>
      </c>
      <c r="C395" s="281"/>
      <c r="D395" s="421">
        <f>PRODUCT(Лист1!G149,$A$228)</f>
        <v>2.63</v>
      </c>
      <c r="E395" s="422">
        <f>Лист1!H149</f>
        <v>40</v>
      </c>
      <c r="F395" s="420">
        <f t="shared" si="27"/>
        <v>105.19999999999999</v>
      </c>
      <c r="G395" s="183"/>
      <c r="H395" s="7"/>
      <c r="I395" s="7"/>
      <c r="J395" s="155"/>
      <c r="K395" s="128"/>
      <c r="L395" s="156"/>
    </row>
    <row r="396" spans="1:12" ht="15.75" x14ac:dyDescent="0.25">
      <c r="A396" s="139" t="str">
        <f>'работа 2 пат'!A379</f>
        <v>Линейка 40 см</v>
      </c>
      <c r="B396" s="88" t="s">
        <v>93</v>
      </c>
      <c r="C396" s="281"/>
      <c r="D396" s="421">
        <f>PRODUCT(Лист1!G150,$A$228)</f>
        <v>0.52600000000000002</v>
      </c>
      <c r="E396" s="422">
        <f>Лист1!H150</f>
        <v>70</v>
      </c>
      <c r="F396" s="420">
        <f t="shared" si="27"/>
        <v>36.82</v>
      </c>
      <c r="G396" s="183"/>
      <c r="H396" s="7"/>
      <c r="I396" s="7"/>
      <c r="J396" s="155"/>
      <c r="K396" s="128"/>
      <c r="L396" s="156"/>
    </row>
    <row r="397" spans="1:12" ht="15.75" x14ac:dyDescent="0.25">
      <c r="A397" s="139" t="str">
        <f>'работа 2 пат'!A380</f>
        <v>Линейка 30 см</v>
      </c>
      <c r="B397" s="88" t="s">
        <v>93</v>
      </c>
      <c r="C397" s="281"/>
      <c r="D397" s="421">
        <f>PRODUCT(Лист1!G151,$A$228)</f>
        <v>1.3149999999999999</v>
      </c>
      <c r="E397" s="422">
        <f>Лист1!H151</f>
        <v>30</v>
      </c>
      <c r="F397" s="420">
        <f t="shared" si="27"/>
        <v>39.449999999999996</v>
      </c>
      <c r="G397" s="183"/>
      <c r="H397" s="7"/>
      <c r="I397" s="7"/>
      <c r="J397" s="155"/>
      <c r="K397" s="128"/>
      <c r="L397" s="156"/>
    </row>
    <row r="398" spans="1:12" ht="15.75" x14ac:dyDescent="0.25">
      <c r="A398" s="139" t="str">
        <f>'работа 2 пат'!A381</f>
        <v>Линейка 20 см</v>
      </c>
      <c r="B398" s="88" t="s">
        <v>93</v>
      </c>
      <c r="C398" s="281"/>
      <c r="D398" s="421">
        <f>PRODUCT(Лист1!G152,$A$228)</f>
        <v>1.052</v>
      </c>
      <c r="E398" s="422">
        <f>Лист1!H152</f>
        <v>20</v>
      </c>
      <c r="F398" s="420">
        <f t="shared" si="27"/>
        <v>21.04</v>
      </c>
      <c r="G398" s="183"/>
      <c r="H398" s="7"/>
      <c r="I398" s="7"/>
      <c r="J398" s="155"/>
      <c r="K398" s="128"/>
      <c r="L398" s="156"/>
    </row>
    <row r="399" spans="1:12" ht="15.75" x14ac:dyDescent="0.25">
      <c r="A399" s="139" t="str">
        <f>'работа 2 пат'!A382</f>
        <v>Маркер черный толстый</v>
      </c>
      <c r="B399" s="88" t="s">
        <v>93</v>
      </c>
      <c r="C399" s="281"/>
      <c r="D399" s="421">
        <f>PRODUCT(Лист1!G153,$A$228)</f>
        <v>0.26300000000000001</v>
      </c>
      <c r="E399" s="422">
        <f>Лист1!H153</f>
        <v>80</v>
      </c>
      <c r="F399" s="420">
        <f t="shared" si="27"/>
        <v>21.04</v>
      </c>
      <c r="G399" s="183"/>
      <c r="H399" s="7"/>
      <c r="I399" s="7"/>
      <c r="J399" s="155"/>
      <c r="K399" s="128"/>
      <c r="L399" s="156"/>
    </row>
    <row r="400" spans="1:12" ht="15.75" x14ac:dyDescent="0.25">
      <c r="A400" s="139" t="str">
        <f>'работа 2 пат'!A383</f>
        <v>Маркер черный тонкий</v>
      </c>
      <c r="B400" s="88" t="s">
        <v>93</v>
      </c>
      <c r="C400" s="281"/>
      <c r="D400" s="421">
        <f>PRODUCT(Лист1!G154,$A$228)</f>
        <v>2.1040000000000001</v>
      </c>
      <c r="E400" s="422">
        <f>Лист1!H154</f>
        <v>35</v>
      </c>
      <c r="F400" s="420">
        <f t="shared" si="27"/>
        <v>73.64</v>
      </c>
      <c r="G400" s="183"/>
      <c r="H400" s="7"/>
      <c r="I400" s="7"/>
      <c r="J400" s="155"/>
      <c r="K400" s="128"/>
      <c r="L400" s="156"/>
    </row>
    <row r="401" spans="1:12" ht="15.75" x14ac:dyDescent="0.25">
      <c r="A401" s="139" t="str">
        <f>'работа 2 пат'!A384</f>
        <v>Маркер (набор)</v>
      </c>
      <c r="B401" s="88" t="s">
        <v>93</v>
      </c>
      <c r="C401" s="281"/>
      <c r="D401" s="421">
        <f>PRODUCT(Лист1!G155,$A$228)</f>
        <v>0.26300000000000001</v>
      </c>
      <c r="E401" s="422">
        <f>Лист1!H155</f>
        <v>290</v>
      </c>
      <c r="F401" s="420">
        <f t="shared" si="27"/>
        <v>76.27000000000001</v>
      </c>
      <c r="G401" s="183"/>
      <c r="H401" s="7"/>
      <c r="I401" s="7"/>
      <c r="J401" s="155"/>
      <c r="K401" s="128"/>
      <c r="L401" s="156"/>
    </row>
    <row r="402" spans="1:12" ht="15.75" x14ac:dyDescent="0.25">
      <c r="A402" s="139" t="str">
        <f>'работа 2 пат'!A385</f>
        <v>Маркер красный</v>
      </c>
      <c r="B402" s="88" t="s">
        <v>93</v>
      </c>
      <c r="C402" s="281"/>
      <c r="D402" s="421">
        <f>PRODUCT(Лист1!G156,$A$228)</f>
        <v>1.052</v>
      </c>
      <c r="E402" s="422">
        <f>Лист1!H156</f>
        <v>50</v>
      </c>
      <c r="F402" s="420">
        <f t="shared" si="27"/>
        <v>52.6</v>
      </c>
      <c r="G402" s="183"/>
      <c r="H402" s="7"/>
      <c r="I402" s="7"/>
      <c r="J402" s="155"/>
      <c r="K402" s="128"/>
      <c r="L402" s="156"/>
    </row>
    <row r="403" spans="1:12" ht="15.75" x14ac:dyDescent="0.25">
      <c r="A403" s="139" t="str">
        <f>'работа 2 пат'!A386</f>
        <v>Маркер (синий)</v>
      </c>
      <c r="B403" s="88" t="s">
        <v>93</v>
      </c>
      <c r="C403" s="281"/>
      <c r="D403" s="421">
        <f>PRODUCT(Лист1!G157,$A$228)</f>
        <v>0.52600000000000002</v>
      </c>
      <c r="E403" s="422">
        <f>Лист1!H157</f>
        <v>120</v>
      </c>
      <c r="F403" s="420">
        <f t="shared" si="27"/>
        <v>63.120000000000005</v>
      </c>
      <c r="G403" s="183"/>
      <c r="H403" s="7"/>
      <c r="I403" s="7"/>
      <c r="J403" s="155"/>
      <c r="K403" s="128"/>
      <c r="L403" s="156"/>
    </row>
    <row r="404" spans="1:12" ht="15.75" x14ac:dyDescent="0.25">
      <c r="A404" s="139" t="str">
        <f>'работа 2 пат'!A387</f>
        <v>Клей маленький</v>
      </c>
      <c r="B404" s="88" t="s">
        <v>93</v>
      </c>
      <c r="C404" s="281"/>
      <c r="D404" s="421">
        <f>PRODUCT(Лист1!G158,$A$228)</f>
        <v>2.367</v>
      </c>
      <c r="E404" s="422">
        <f>Лист1!H158</f>
        <v>40</v>
      </c>
      <c r="F404" s="420">
        <f t="shared" si="27"/>
        <v>94.68</v>
      </c>
      <c r="G404" s="183"/>
      <c r="H404" s="7"/>
      <c r="I404" s="7"/>
      <c r="J404" s="155"/>
      <c r="K404" s="128"/>
      <c r="L404" s="156"/>
    </row>
    <row r="405" spans="1:12" ht="15.75" x14ac:dyDescent="0.25">
      <c r="A405" s="139" t="str">
        <f>'работа 2 пат'!A388</f>
        <v>Клей большой</v>
      </c>
      <c r="B405" s="88" t="s">
        <v>93</v>
      </c>
      <c r="C405" s="281"/>
      <c r="D405" s="421">
        <f>PRODUCT(Лист1!G159,$A$228)</f>
        <v>1.3149999999999999</v>
      </c>
      <c r="E405" s="422">
        <f>Лист1!H159</f>
        <v>60</v>
      </c>
      <c r="F405" s="420">
        <f t="shared" si="27"/>
        <v>78.899999999999991</v>
      </c>
      <c r="G405" s="183"/>
      <c r="H405" s="7"/>
      <c r="I405" s="7"/>
      <c r="J405" s="155"/>
      <c r="K405" s="128"/>
      <c r="L405" s="156"/>
    </row>
    <row r="406" spans="1:12" ht="15.75" x14ac:dyDescent="0.25">
      <c r="A406" s="139" t="str">
        <f>'работа 2 пат'!A389</f>
        <v>Резак для резки бумаги</v>
      </c>
      <c r="B406" s="88" t="s">
        <v>93</v>
      </c>
      <c r="C406" s="281"/>
      <c r="D406" s="421">
        <f>PRODUCT(Лист1!G160,$A$228)</f>
        <v>0.26300000000000001</v>
      </c>
      <c r="E406" s="422">
        <f>Лист1!H160</f>
        <v>100</v>
      </c>
      <c r="F406" s="420">
        <f t="shared" si="27"/>
        <v>26.3</v>
      </c>
      <c r="G406" s="183"/>
      <c r="H406" s="7"/>
      <c r="I406" s="7"/>
      <c r="J406" s="155"/>
      <c r="K406" s="128"/>
      <c r="L406" s="156"/>
    </row>
    <row r="407" spans="1:12" ht="15.75" x14ac:dyDescent="0.25">
      <c r="A407" s="139" t="str">
        <f>'работа 2 пат'!A390</f>
        <v>Краска</v>
      </c>
      <c r="B407" s="88" t="s">
        <v>93</v>
      </c>
      <c r="C407" s="281"/>
      <c r="D407" s="421">
        <f>PRODUCT(Лист1!G161,$A$228)</f>
        <v>0.26300000000000001</v>
      </c>
      <c r="E407" s="422">
        <f>Лист1!H161</f>
        <v>140</v>
      </c>
      <c r="F407" s="420">
        <f t="shared" si="27"/>
        <v>36.82</v>
      </c>
      <c r="G407" s="183"/>
      <c r="H407" s="7"/>
      <c r="I407" s="7"/>
      <c r="J407" s="155"/>
      <c r="K407" s="128"/>
      <c r="L407" s="156"/>
    </row>
    <row r="408" spans="1:12" ht="15.75" x14ac:dyDescent="0.25">
      <c r="A408" s="139" t="str">
        <f>'работа 2 пат'!A391</f>
        <v>Зажим маленький</v>
      </c>
      <c r="B408" s="88" t="s">
        <v>93</v>
      </c>
      <c r="C408" s="281"/>
      <c r="D408" s="421">
        <f>PRODUCT(Лист1!G162,$A$228)</f>
        <v>2.63</v>
      </c>
      <c r="E408" s="422">
        <f>Лист1!H162</f>
        <v>15</v>
      </c>
      <c r="F408" s="420">
        <f t="shared" si="27"/>
        <v>39.449999999999996</v>
      </c>
      <c r="G408" s="183"/>
      <c r="H408" s="7"/>
      <c r="I408" s="7"/>
      <c r="J408" s="155"/>
      <c r="K408" s="128"/>
      <c r="L408" s="156"/>
    </row>
    <row r="409" spans="1:12" ht="15.75" x14ac:dyDescent="0.25">
      <c r="A409" s="139" t="str">
        <f>'работа 2 пат'!A392</f>
        <v>Зажим большой</v>
      </c>
      <c r="B409" s="88" t="s">
        <v>93</v>
      </c>
      <c r="C409" s="281"/>
      <c r="D409" s="421">
        <f>PRODUCT(Лист1!G163,$A$228)</f>
        <v>2.63</v>
      </c>
      <c r="E409" s="422">
        <f>Лист1!H163</f>
        <v>20</v>
      </c>
      <c r="F409" s="420">
        <f t="shared" si="27"/>
        <v>52.599999999999994</v>
      </c>
      <c r="G409" s="183"/>
      <c r="H409" s="7"/>
      <c r="I409" s="7"/>
      <c r="J409" s="155"/>
      <c r="K409" s="128"/>
      <c r="L409" s="156"/>
    </row>
    <row r="410" spans="1:12" ht="15.75" x14ac:dyDescent="0.25">
      <c r="A410" s="139" t="str">
        <f>'работа 2 пат'!A393</f>
        <v>Корректор ручка</v>
      </c>
      <c r="B410" s="88" t="s">
        <v>93</v>
      </c>
      <c r="C410" s="281"/>
      <c r="D410" s="421">
        <f>PRODUCT(Лист1!G164,$A$228)</f>
        <v>0.52600000000000002</v>
      </c>
      <c r="E410" s="422">
        <f>Лист1!H164</f>
        <v>80</v>
      </c>
      <c r="F410" s="420">
        <f t="shared" si="27"/>
        <v>42.08</v>
      </c>
      <c r="G410" s="183"/>
      <c r="H410" s="7"/>
      <c r="I410" s="7"/>
      <c r="J410" s="155"/>
      <c r="K410" s="128"/>
      <c r="L410" s="156"/>
    </row>
    <row r="411" spans="1:12" ht="15.75" x14ac:dyDescent="0.25">
      <c r="A411" s="139" t="str">
        <f>'работа 2 пат'!A394</f>
        <v>Корректор с кистью</v>
      </c>
      <c r="B411" s="88" t="s">
        <v>93</v>
      </c>
      <c r="C411" s="281"/>
      <c r="D411" s="421">
        <f>PRODUCT(Лист1!G165,$A$228)</f>
        <v>0.52600000000000002</v>
      </c>
      <c r="E411" s="422">
        <f>Лист1!H165</f>
        <v>50</v>
      </c>
      <c r="F411" s="420">
        <f t="shared" si="27"/>
        <v>26.3</v>
      </c>
      <c r="G411" s="183"/>
      <c r="H411" s="7"/>
      <c r="I411" s="7"/>
      <c r="J411" s="155"/>
      <c r="K411" s="128"/>
      <c r="L411" s="156"/>
    </row>
    <row r="412" spans="1:12" ht="15.75" x14ac:dyDescent="0.25">
      <c r="A412" s="139" t="str">
        <f>'работа 2 пат'!A395</f>
        <v>Скотч</v>
      </c>
      <c r="B412" s="88" t="s">
        <v>93</v>
      </c>
      <c r="C412" s="423"/>
      <c r="D412" s="421">
        <f>PRODUCT(Лист1!G166,$A$228)</f>
        <v>1.3149999999999999</v>
      </c>
      <c r="E412" s="422">
        <f>Лист1!H166</f>
        <v>15</v>
      </c>
      <c r="F412" s="420">
        <f t="shared" si="27"/>
        <v>19.724999999999998</v>
      </c>
      <c r="G412" s="183"/>
      <c r="H412" s="7"/>
      <c r="I412" s="7"/>
      <c r="J412" s="155"/>
      <c r="K412" s="128"/>
      <c r="L412" s="156"/>
    </row>
    <row r="413" spans="1:12" ht="15.75" x14ac:dyDescent="0.25">
      <c r="A413" s="139" t="str">
        <f>'работа 2 пат'!A396</f>
        <v>Нож канцелярский</v>
      </c>
      <c r="B413" s="88" t="s">
        <v>93</v>
      </c>
      <c r="C413" s="423"/>
      <c r="D413" s="421">
        <f>PRODUCT(Лист1!G167,$A$228)</f>
        <v>3.1560000000000001</v>
      </c>
      <c r="E413" s="422">
        <f>Лист1!H167</f>
        <v>50</v>
      </c>
      <c r="F413" s="420">
        <f t="shared" si="27"/>
        <v>157.80000000000001</v>
      </c>
      <c r="G413" s="183"/>
      <c r="H413" s="7"/>
      <c r="I413" s="7"/>
      <c r="J413" s="155"/>
      <c r="K413" s="128"/>
      <c r="L413" s="156"/>
    </row>
    <row r="414" spans="1:12" ht="15.75" x14ac:dyDescent="0.25">
      <c r="A414" s="139" t="str">
        <f>'работа 2 пат'!A397</f>
        <v>Нитки для сшивания (толстые)</v>
      </c>
      <c r="B414" s="88" t="s">
        <v>93</v>
      </c>
      <c r="C414" s="423"/>
      <c r="D414" s="421">
        <f>PRODUCT(Лист1!G168,$A$228)</f>
        <v>0.26300000000000001</v>
      </c>
      <c r="E414" s="422">
        <f>Лист1!H168</f>
        <v>210</v>
      </c>
      <c r="F414" s="420">
        <f t="shared" si="27"/>
        <v>55.230000000000004</v>
      </c>
      <c r="G414" s="183"/>
      <c r="H414" s="7"/>
      <c r="I414" s="7"/>
      <c r="J414" s="155"/>
      <c r="K414" s="128"/>
      <c r="L414" s="156"/>
    </row>
    <row r="415" spans="1:12" ht="15.75" x14ac:dyDescent="0.25">
      <c r="A415" s="139" t="str">
        <f>'работа 2 пат'!A398</f>
        <v>Шило</v>
      </c>
      <c r="B415" s="88" t="s">
        <v>93</v>
      </c>
      <c r="C415" s="423"/>
      <c r="D415" s="421">
        <f>PRODUCT(Лист1!G169,$A$228)</f>
        <v>0.26300000000000001</v>
      </c>
      <c r="E415" s="422">
        <f>Лист1!H169</f>
        <v>60</v>
      </c>
      <c r="F415" s="420">
        <f t="shared" si="27"/>
        <v>15.780000000000001</v>
      </c>
      <c r="G415" s="183"/>
      <c r="H415" s="7"/>
      <c r="I415" s="7"/>
      <c r="J415" s="155"/>
      <c r="K415" s="128"/>
      <c r="L415" s="156"/>
    </row>
    <row r="416" spans="1:12" ht="15.75" x14ac:dyDescent="0.25">
      <c r="A416" s="139" t="str">
        <f>'работа 2 пат'!A399</f>
        <v>Дырокол на 10 листов металл.</v>
      </c>
      <c r="B416" s="88" t="s">
        <v>93</v>
      </c>
      <c r="C416" s="423"/>
      <c r="D416" s="421">
        <f>PRODUCT(Лист1!G170,$A$228)</f>
        <v>1.052</v>
      </c>
      <c r="E416" s="422">
        <f>Лист1!H170</f>
        <v>190</v>
      </c>
      <c r="F416" s="420">
        <f t="shared" si="27"/>
        <v>199.88</v>
      </c>
      <c r="G416" s="183"/>
      <c r="H416" s="7"/>
      <c r="I416" s="7"/>
      <c r="J416" s="155"/>
      <c r="K416" s="128"/>
      <c r="L416" s="156"/>
    </row>
    <row r="417" spans="1:12" ht="15.75" x14ac:dyDescent="0.25">
      <c r="A417" s="139" t="str">
        <f>'работа 2 пат'!A400</f>
        <v>Дырокол на 70 листов черный</v>
      </c>
      <c r="B417" s="88" t="s">
        <v>93</v>
      </c>
      <c r="C417" s="423"/>
      <c r="D417" s="421">
        <f>PRODUCT(Лист1!G171,$A$228)</f>
        <v>0.26300000000000001</v>
      </c>
      <c r="E417" s="422">
        <f>Лист1!H171</f>
        <v>320</v>
      </c>
      <c r="F417" s="420">
        <f t="shared" si="27"/>
        <v>84.16</v>
      </c>
      <c r="G417" s="183"/>
      <c r="H417" s="7"/>
      <c r="I417" s="7"/>
      <c r="J417" s="155"/>
      <c r="K417" s="128"/>
      <c r="L417" s="156"/>
    </row>
    <row r="418" spans="1:12" ht="15.75" x14ac:dyDescent="0.25">
      <c r="A418" s="139" t="str">
        <f>'работа 2 пат'!A401</f>
        <v>Карандаш простой</v>
      </c>
      <c r="B418" s="88" t="s">
        <v>93</v>
      </c>
      <c r="C418" s="423"/>
      <c r="D418" s="421">
        <f>PRODUCT(Лист1!G172,$A$228)</f>
        <v>2.63</v>
      </c>
      <c r="E418" s="422">
        <f>Лист1!H172</f>
        <v>20</v>
      </c>
      <c r="F418" s="420">
        <f t="shared" si="27"/>
        <v>52.599999999999994</v>
      </c>
      <c r="G418" s="183"/>
      <c r="H418" s="7"/>
      <c r="I418" s="7"/>
      <c r="J418" s="155"/>
      <c r="K418" s="128"/>
      <c r="L418" s="156"/>
    </row>
    <row r="419" spans="1:12" ht="15.75" x14ac:dyDescent="0.25">
      <c r="A419" s="139" t="str">
        <f>'работа 2 пат'!A402</f>
        <v>Ручка</v>
      </c>
      <c r="B419" s="88" t="s">
        <v>93</v>
      </c>
      <c r="C419" s="423"/>
      <c r="D419" s="421">
        <f>PRODUCT(Лист1!G173,$A$228)</f>
        <v>0.26300000000000001</v>
      </c>
      <c r="E419" s="422">
        <f>Лист1!H173</f>
        <v>20</v>
      </c>
      <c r="F419" s="420">
        <f t="shared" si="27"/>
        <v>5.26</v>
      </c>
      <c r="G419" s="183"/>
      <c r="H419" s="7"/>
      <c r="I419" s="7"/>
      <c r="J419" s="155"/>
      <c r="K419" s="128"/>
      <c r="L419" s="156"/>
    </row>
    <row r="420" spans="1:12" ht="15.75" x14ac:dyDescent="0.25">
      <c r="A420" s="139" t="str">
        <f>'работа 2 пат'!A403</f>
        <v>Полотенце</v>
      </c>
      <c r="B420" s="88" t="s">
        <v>93</v>
      </c>
      <c r="C420" s="423"/>
      <c r="D420" s="421">
        <f>PRODUCT(Лист1!G174,$A$228)</f>
        <v>1.3149999999999999</v>
      </c>
      <c r="E420" s="422">
        <f>Лист1!H174</f>
        <v>110</v>
      </c>
      <c r="F420" s="420">
        <f t="shared" si="27"/>
        <v>144.65</v>
      </c>
      <c r="G420" s="183"/>
      <c r="H420" s="7"/>
      <c r="I420" s="7"/>
      <c r="J420" s="155"/>
      <c r="K420" s="128"/>
      <c r="L420" s="156"/>
    </row>
    <row r="421" spans="1:12" ht="15.75" x14ac:dyDescent="0.25">
      <c r="A421" s="139" t="str">
        <f>'работа 2 пат'!A404</f>
        <v>Комплект веник-совок</v>
      </c>
      <c r="B421" s="88" t="s">
        <v>93</v>
      </c>
      <c r="C421" s="423"/>
      <c r="D421" s="421">
        <f>PRODUCT(Лист1!G175,$A$228)</f>
        <v>0.78900000000000003</v>
      </c>
      <c r="E421" s="422">
        <f>Лист1!H175</f>
        <v>450</v>
      </c>
      <c r="F421" s="420">
        <f t="shared" si="27"/>
        <v>355.05</v>
      </c>
      <c r="G421" s="183"/>
      <c r="H421" s="7"/>
      <c r="I421" s="7"/>
      <c r="J421" s="155"/>
      <c r="K421" s="128"/>
      <c r="L421" s="156"/>
    </row>
    <row r="422" spans="1:12" ht="15.75" x14ac:dyDescent="0.25">
      <c r="A422" s="139" t="str">
        <f>'работа 2 пат'!A405</f>
        <v>Насадки на швабру</v>
      </c>
      <c r="B422" s="88" t="s">
        <v>93</v>
      </c>
      <c r="C422" s="423"/>
      <c r="D422" s="421">
        <f>PRODUCT(Лист1!G176,$A$228)</f>
        <v>1.052</v>
      </c>
      <c r="E422" s="422">
        <f>Лист1!H176</f>
        <v>100</v>
      </c>
      <c r="F422" s="420">
        <f t="shared" si="27"/>
        <v>105.2</v>
      </c>
      <c r="G422" s="183"/>
      <c r="H422" s="7"/>
      <c r="I422" s="7"/>
      <c r="J422" s="155"/>
      <c r="K422" s="128"/>
      <c r="L422" s="156"/>
    </row>
    <row r="423" spans="1:12" ht="15.75" x14ac:dyDescent="0.25">
      <c r="A423" s="139" t="str">
        <f>'работа 2 пат'!A406</f>
        <v>Бумага Svetocopy</v>
      </c>
      <c r="B423" s="88" t="s">
        <v>93</v>
      </c>
      <c r="C423" s="423"/>
      <c r="D423" s="421">
        <f>PRODUCT(Лист1!G177,$A$228)</f>
        <v>7.8900000000000006</v>
      </c>
      <c r="E423" s="422">
        <f>Лист1!H177</f>
        <v>310</v>
      </c>
      <c r="F423" s="420">
        <f t="shared" si="27"/>
        <v>2445.9</v>
      </c>
      <c r="G423" s="183"/>
      <c r="H423" s="7"/>
      <c r="I423" s="7"/>
      <c r="J423" s="155"/>
      <c r="K423" s="128"/>
      <c r="L423" s="156"/>
    </row>
    <row r="424" spans="1:12" ht="15.75" x14ac:dyDescent="0.25">
      <c r="A424" s="139" t="str">
        <f>'работа 2 пат'!A407</f>
        <v>Папка накопитель</v>
      </c>
      <c r="B424" s="88" t="s">
        <v>93</v>
      </c>
      <c r="C424" s="423"/>
      <c r="D424" s="421">
        <f>PRODUCT(Лист1!G178,$A$228)</f>
        <v>0.26300000000000001</v>
      </c>
      <c r="E424" s="422">
        <f>Лист1!H178</f>
        <v>45</v>
      </c>
      <c r="F424" s="420">
        <f t="shared" si="27"/>
        <v>11.835000000000001</v>
      </c>
      <c r="G424" s="183"/>
      <c r="H424" s="7"/>
      <c r="I424" s="7"/>
      <c r="J424" s="155"/>
      <c r="K424" s="128"/>
      <c r="L424" s="156"/>
    </row>
    <row r="425" spans="1:12" ht="15.75" x14ac:dyDescent="0.25">
      <c r="A425" s="139" t="str">
        <f>'работа 2 пат'!A408</f>
        <v>Набор пил колец</v>
      </c>
      <c r="B425" s="88" t="s">
        <v>93</v>
      </c>
      <c r="C425" s="423"/>
      <c r="D425" s="421">
        <f>PRODUCT(Лист1!G179,$A$228)</f>
        <v>0.26300000000000001</v>
      </c>
      <c r="E425" s="422">
        <f>Лист1!H179</f>
        <v>595</v>
      </c>
      <c r="F425" s="420">
        <f t="shared" si="27"/>
        <v>156.48500000000001</v>
      </c>
      <c r="G425" s="183"/>
      <c r="H425" s="7"/>
      <c r="I425" s="7"/>
      <c r="J425" s="155"/>
      <c r="K425" s="128"/>
      <c r="L425" s="156"/>
    </row>
    <row r="426" spans="1:12" ht="15.75" x14ac:dyDescent="0.25">
      <c r="A426" s="139" t="str">
        <f>'работа 2 пат'!A409</f>
        <v>Клей</v>
      </c>
      <c r="B426" s="88" t="s">
        <v>93</v>
      </c>
      <c r="C426" s="423"/>
      <c r="D426" s="421">
        <f>PRODUCT(Лист1!G180,$A$228)</f>
        <v>0.26300000000000001</v>
      </c>
      <c r="E426" s="422">
        <f>Лист1!H180</f>
        <v>175</v>
      </c>
      <c r="F426" s="420">
        <f t="shared" si="27"/>
        <v>46.024999999999999</v>
      </c>
      <c r="G426" s="183"/>
      <c r="H426" s="7"/>
      <c r="I426" s="7"/>
      <c r="J426" s="155"/>
      <c r="K426" s="128"/>
      <c r="L426" s="156"/>
    </row>
    <row r="427" spans="1:12" ht="15.75" x14ac:dyDescent="0.25">
      <c r="A427" s="139" t="str">
        <f>'работа 2 пат'!A410</f>
        <v>Крышка горловины</v>
      </c>
      <c r="B427" s="88" t="s">
        <v>93</v>
      </c>
      <c r="C427" s="423"/>
      <c r="D427" s="421">
        <f>PRODUCT(Лист1!G181,$A$228)</f>
        <v>0.52600000000000002</v>
      </c>
      <c r="E427" s="422">
        <f>Лист1!H181</f>
        <v>80</v>
      </c>
      <c r="F427" s="420">
        <f t="shared" ref="F427:F446" si="28">D427*E427</f>
        <v>42.08</v>
      </c>
      <c r="G427" s="183"/>
      <c r="H427" s="7"/>
      <c r="I427" s="7"/>
      <c r="J427" s="155"/>
      <c r="K427" s="128"/>
      <c r="L427" s="156"/>
    </row>
    <row r="428" spans="1:12" ht="15.75" x14ac:dyDescent="0.25">
      <c r="A428" s="139" t="str">
        <f>'работа 2 пат'!A411</f>
        <v>папка скоросшиватель</v>
      </c>
      <c r="B428" s="88" t="s">
        <v>93</v>
      </c>
      <c r="C428" s="423"/>
      <c r="D428" s="421">
        <f>PRODUCT(Лист1!G182,$A$228)</f>
        <v>2.63</v>
      </c>
      <c r="E428" s="422">
        <f>Лист1!H182</f>
        <v>15</v>
      </c>
      <c r="F428" s="420">
        <f t="shared" si="28"/>
        <v>39.449999999999996</v>
      </c>
      <c r="G428" s="183"/>
      <c r="H428" s="7"/>
      <c r="I428" s="7"/>
      <c r="J428" s="155"/>
      <c r="K428" s="128"/>
      <c r="L428" s="156"/>
    </row>
    <row r="429" spans="1:12" ht="15.75" x14ac:dyDescent="0.25">
      <c r="A429" s="139" t="str">
        <f>'работа 2 пат'!A412</f>
        <v>Прессвол РОР-АР 3,5*2,3м</v>
      </c>
      <c r="B429" s="88" t="s">
        <v>93</v>
      </c>
      <c r="C429" s="281"/>
      <c r="D429" s="421">
        <f>PRODUCT(Лист1!G183,$A$228)</f>
        <v>0.26300000000000001</v>
      </c>
      <c r="E429" s="422">
        <f>Лист1!H183</f>
        <v>25000</v>
      </c>
      <c r="F429" s="420">
        <f t="shared" si="28"/>
        <v>6575</v>
      </c>
      <c r="G429" s="183"/>
      <c r="H429" s="7"/>
      <c r="I429" s="7"/>
      <c r="J429" s="155"/>
      <c r="K429" s="128"/>
      <c r="L429" s="156"/>
    </row>
    <row r="430" spans="1:12" ht="15.75" x14ac:dyDescent="0.25">
      <c r="A430" s="139" t="str">
        <f>'работа 2 пат'!A413</f>
        <v>плинтус кабель-канал</v>
      </c>
      <c r="B430" s="88" t="s">
        <v>93</v>
      </c>
      <c r="C430" s="281"/>
      <c r="D430" s="421">
        <f>PRODUCT(Лист1!G184,$A$228)</f>
        <v>0.78900000000000003</v>
      </c>
      <c r="E430" s="422">
        <f>Лист1!H184</f>
        <v>70</v>
      </c>
      <c r="F430" s="420">
        <f t="shared" si="28"/>
        <v>55.230000000000004</v>
      </c>
      <c r="G430" s="183"/>
      <c r="H430" s="7"/>
      <c r="I430" s="7"/>
      <c r="J430" s="155"/>
      <c r="K430" s="128"/>
      <c r="L430" s="156"/>
    </row>
    <row r="431" spans="1:12" ht="15.75" x14ac:dyDescent="0.25">
      <c r="A431" s="139" t="str">
        <f>'работа 2 пат'!A414</f>
        <v>валик малярный L</v>
      </c>
      <c r="B431" s="88" t="s">
        <v>93</v>
      </c>
      <c r="C431" s="281"/>
      <c r="D431" s="421">
        <f>PRODUCT(Лист1!G185,$A$228)</f>
        <v>0.52600000000000002</v>
      </c>
      <c r="E431" s="422">
        <f>Лист1!H185</f>
        <v>134</v>
      </c>
      <c r="F431" s="420">
        <f t="shared" si="28"/>
        <v>70.484000000000009</v>
      </c>
      <c r="G431" s="183"/>
      <c r="H431" s="7"/>
      <c r="I431" s="7"/>
      <c r="J431" s="155"/>
      <c r="K431" s="128"/>
      <c r="L431" s="156"/>
    </row>
    <row r="432" spans="1:12" ht="15.75" x14ac:dyDescent="0.25">
      <c r="A432" s="139" t="str">
        <f>'работа 2 пат'!A415</f>
        <v>валик малярный профи</v>
      </c>
      <c r="B432" s="88" t="s">
        <v>93</v>
      </c>
      <c r="C432" s="281"/>
      <c r="D432" s="421">
        <f>PRODUCT(Лист1!G186,$A$228)</f>
        <v>0.52600000000000002</v>
      </c>
      <c r="E432" s="422">
        <f>Лист1!H186</f>
        <v>142</v>
      </c>
      <c r="F432" s="420">
        <f t="shared" si="28"/>
        <v>74.692000000000007</v>
      </c>
      <c r="G432" s="183"/>
      <c r="H432" s="7"/>
      <c r="I432" s="7"/>
      <c r="J432" s="155"/>
      <c r="K432" s="128"/>
      <c r="L432" s="156"/>
    </row>
    <row r="433" spans="1:12" ht="15.75" x14ac:dyDescent="0.25">
      <c r="A433" s="139" t="str">
        <f>'работа 2 пат'!A416</f>
        <v>кабель-канал</v>
      </c>
      <c r="B433" s="88" t="s">
        <v>93</v>
      </c>
      <c r="C433" s="281"/>
      <c r="D433" s="421">
        <f>PRODUCT(Лист1!G187,$A$228)</f>
        <v>1.3149999999999999</v>
      </c>
      <c r="E433" s="422">
        <f>Лист1!H187</f>
        <v>62</v>
      </c>
      <c r="F433" s="420">
        <f t="shared" si="28"/>
        <v>81.53</v>
      </c>
      <c r="G433" s="183"/>
      <c r="H433" s="7"/>
      <c r="I433" s="7"/>
      <c r="J433" s="155"/>
      <c r="K433" s="128"/>
      <c r="L433" s="156"/>
    </row>
    <row r="434" spans="1:12" ht="15.75" x14ac:dyDescent="0.25">
      <c r="A434" s="139" t="str">
        <f>'работа 2 пат'!A417</f>
        <v>ванночка малярная</v>
      </c>
      <c r="B434" s="88" t="s">
        <v>93</v>
      </c>
      <c r="C434" s="281"/>
      <c r="D434" s="421">
        <f>PRODUCT(Лист1!G188,$A$228)</f>
        <v>0.52600000000000002</v>
      </c>
      <c r="E434" s="422">
        <f>Лист1!H188</f>
        <v>50</v>
      </c>
      <c r="F434" s="420">
        <f t="shared" si="28"/>
        <v>26.3</v>
      </c>
      <c r="G434" s="183"/>
      <c r="H434" s="7"/>
      <c r="I434" s="7"/>
      <c r="J434" s="155"/>
      <c r="K434" s="128"/>
      <c r="L434" s="156"/>
    </row>
    <row r="435" spans="1:12" ht="15.75" x14ac:dyDescent="0.25">
      <c r="A435" s="139" t="str">
        <f>'работа 2 пат'!A418</f>
        <v>шайба крановая</v>
      </c>
      <c r="B435" s="88" t="s">
        <v>93</v>
      </c>
      <c r="C435" s="281"/>
      <c r="D435" s="421">
        <f>PRODUCT(Лист1!G189,$A$228)</f>
        <v>5.26</v>
      </c>
      <c r="E435" s="422">
        <f>Лист1!H189</f>
        <v>0.3</v>
      </c>
      <c r="F435" s="420">
        <f t="shared" si="28"/>
        <v>1.5779999999999998</v>
      </c>
      <c r="G435" s="183"/>
      <c r="H435" s="7"/>
      <c r="I435" s="7"/>
      <c r="J435" s="155"/>
      <c r="K435" s="128"/>
      <c r="L435" s="156"/>
    </row>
    <row r="436" spans="1:12" ht="14.25" customHeight="1" x14ac:dyDescent="0.25">
      <c r="A436" s="139" t="str">
        <f>'работа 2 пат'!A419</f>
        <v>эмаль аэрозоль</v>
      </c>
      <c r="B436" s="88" t="s">
        <v>93</v>
      </c>
      <c r="C436" s="281"/>
      <c r="D436" s="421">
        <f>PRODUCT(Лист1!G190,$A$228)</f>
        <v>0.52600000000000002</v>
      </c>
      <c r="E436" s="422">
        <f>Лист1!H190</f>
        <v>193</v>
      </c>
      <c r="F436" s="420">
        <f t="shared" si="28"/>
        <v>101.518</v>
      </c>
      <c r="G436" s="183"/>
      <c r="H436" s="7"/>
      <c r="I436" s="7"/>
      <c r="J436" s="155"/>
      <c r="K436" s="128"/>
      <c r="L436" s="156"/>
    </row>
    <row r="437" spans="1:12" ht="14.25" customHeight="1" x14ac:dyDescent="0.25">
      <c r="A437" s="139" t="str">
        <f>'работа 2 пат'!A420</f>
        <v>Папка-регистратор</v>
      </c>
      <c r="B437" s="88" t="s">
        <v>93</v>
      </c>
      <c r="C437" s="281"/>
      <c r="D437" s="421">
        <f>PRODUCT(Лист1!G191,$A$228)</f>
        <v>5.7860000000000005</v>
      </c>
      <c r="E437" s="422">
        <f>Лист1!H191</f>
        <v>190</v>
      </c>
      <c r="F437" s="420">
        <f t="shared" si="28"/>
        <v>1099.3400000000001</v>
      </c>
      <c r="G437" s="183"/>
      <c r="H437" s="7"/>
      <c r="I437" s="7"/>
      <c r="J437" s="155"/>
      <c r="K437" s="128"/>
      <c r="L437" s="156"/>
    </row>
    <row r="438" spans="1:12" ht="14.25" customHeight="1" x14ac:dyDescent="0.25">
      <c r="A438" s="139" t="str">
        <f>'работа 2 пат'!A421</f>
        <v>Блок питания</v>
      </c>
      <c r="B438" s="88" t="s">
        <v>93</v>
      </c>
      <c r="C438" s="281"/>
      <c r="D438" s="421">
        <f>PRODUCT(Лист1!G192,$A$228)</f>
        <v>0.26300000000000001</v>
      </c>
      <c r="E438" s="422">
        <f>Лист1!H192</f>
        <v>8330</v>
      </c>
      <c r="F438" s="420">
        <f t="shared" si="28"/>
        <v>2190.79</v>
      </c>
      <c r="G438" s="183"/>
      <c r="H438" s="7"/>
      <c r="I438" s="7"/>
      <c r="J438" s="155"/>
      <c r="K438" s="128"/>
      <c r="L438" s="156"/>
    </row>
    <row r="439" spans="1:12" ht="14.25" customHeight="1" x14ac:dyDescent="0.25">
      <c r="A439" s="139" t="str">
        <f>'работа 2 пат'!A422</f>
        <v>Кабель</v>
      </c>
      <c r="B439" s="88" t="s">
        <v>93</v>
      </c>
      <c r="C439" s="281"/>
      <c r="D439" s="421">
        <f>PRODUCT(Лист1!G193,$A$228)</f>
        <v>0.78900000000000003</v>
      </c>
      <c r="E439" s="422">
        <f>Лист1!H193</f>
        <v>2570</v>
      </c>
      <c r="F439" s="420">
        <f t="shared" si="28"/>
        <v>2027.73</v>
      </c>
      <c r="G439" s="183"/>
      <c r="H439" s="7"/>
      <c r="I439" s="7"/>
      <c r="J439" s="155"/>
      <c r="K439" s="128"/>
      <c r="L439" s="156"/>
    </row>
    <row r="440" spans="1:12" ht="14.25" customHeight="1" x14ac:dyDescent="0.25">
      <c r="A440" s="139" t="str">
        <f>'работа 2 пат'!A423</f>
        <v>Карта памяти</v>
      </c>
      <c r="B440" s="88" t="s">
        <v>93</v>
      </c>
      <c r="C440" s="281"/>
      <c r="D440" s="421">
        <f>PRODUCT(Лист1!G194,$A$228)</f>
        <v>0.52600000000000002</v>
      </c>
      <c r="E440" s="422">
        <f>Лист1!H194</f>
        <v>3700</v>
      </c>
      <c r="F440" s="420">
        <f t="shared" si="28"/>
        <v>1946.2</v>
      </c>
      <c r="G440" s="183"/>
      <c r="H440" s="7"/>
      <c r="I440" s="7"/>
      <c r="J440" s="155"/>
      <c r="K440" s="128"/>
      <c r="L440" s="156"/>
    </row>
    <row r="441" spans="1:12" ht="15.75" x14ac:dyDescent="0.25">
      <c r="A441" s="139" t="str">
        <f>'работа 2 пат'!A424</f>
        <v>Кабель</v>
      </c>
      <c r="B441" s="88" t="s">
        <v>93</v>
      </c>
      <c r="C441" s="281"/>
      <c r="D441" s="421">
        <f>PRODUCT(Лист1!G195,$A$228)</f>
        <v>0.26300000000000001</v>
      </c>
      <c r="E441" s="422">
        <f>Лист1!H195</f>
        <v>1990</v>
      </c>
      <c r="F441" s="420">
        <f t="shared" si="28"/>
        <v>523.37</v>
      </c>
      <c r="G441" s="183"/>
      <c r="H441" s="7"/>
      <c r="I441" s="7"/>
      <c r="J441" s="155"/>
      <c r="K441" s="128"/>
      <c r="L441" s="156"/>
    </row>
    <row r="442" spans="1:12" ht="15.75" x14ac:dyDescent="0.25">
      <c r="A442" s="139" t="str">
        <f>'работа 2 пат'!A425</f>
        <v>Бумага Lomond 230</v>
      </c>
      <c r="B442" s="88" t="s">
        <v>93</v>
      </c>
      <c r="C442" s="281"/>
      <c r="D442" s="421">
        <f>PRODUCT(Лист1!G196,$A$228)</f>
        <v>0.52600000000000002</v>
      </c>
      <c r="E442" s="422">
        <f>Лист1!H196</f>
        <v>430</v>
      </c>
      <c r="F442" s="420">
        <f t="shared" si="28"/>
        <v>226.18</v>
      </c>
      <c r="G442" s="183"/>
      <c r="H442" s="7"/>
      <c r="I442" s="7"/>
      <c r="J442" s="155"/>
      <c r="K442" s="128"/>
      <c r="L442" s="156"/>
    </row>
    <row r="443" spans="1:12" ht="15.75" x14ac:dyDescent="0.25">
      <c r="A443" s="139" t="str">
        <f>'работа 2 пат'!A426</f>
        <v>Бумага Lomond 140</v>
      </c>
      <c r="B443" s="88" t="s">
        <v>93</v>
      </c>
      <c r="C443" s="281"/>
      <c r="D443" s="421">
        <f>PRODUCT(Лист1!G197,$A$228)</f>
        <v>0.52600000000000002</v>
      </c>
      <c r="E443" s="422">
        <f>Лист1!H197</f>
        <v>870</v>
      </c>
      <c r="F443" s="420">
        <f t="shared" si="28"/>
        <v>457.62</v>
      </c>
      <c r="G443" s="183"/>
      <c r="H443" s="7"/>
      <c r="I443" s="7"/>
      <c r="J443" s="155"/>
      <c r="K443" s="128"/>
      <c r="L443" s="156"/>
    </row>
    <row r="444" spans="1:12" ht="15.75" x14ac:dyDescent="0.25">
      <c r="A444" s="139" t="str">
        <f>'работа 2 пат'!A427</f>
        <v>Бумага Lomond 200</v>
      </c>
      <c r="B444" s="88" t="s">
        <v>93</v>
      </c>
      <c r="C444" s="281"/>
      <c r="D444" s="421">
        <f>PRODUCT(Лист1!G198,$A$228)</f>
        <v>0.52600000000000002</v>
      </c>
      <c r="E444" s="422">
        <f>Лист1!H198</f>
        <v>580</v>
      </c>
      <c r="F444" s="420">
        <f t="shared" si="28"/>
        <v>305.08000000000004</v>
      </c>
      <c r="G444" s="183"/>
      <c r="H444" s="7"/>
      <c r="I444" s="7"/>
      <c r="J444" s="155"/>
      <c r="K444" s="128"/>
      <c r="L444" s="156"/>
    </row>
    <row r="445" spans="1:12" ht="15.75" x14ac:dyDescent="0.25">
      <c r="A445" s="139" t="str">
        <f>'работа 2 пат'!A428</f>
        <v>Бумага Cactus 180</v>
      </c>
      <c r="B445" s="88" t="s">
        <v>93</v>
      </c>
      <c r="C445" s="281"/>
      <c r="D445" s="421">
        <f>PRODUCT(Лист1!G199,$A$228)</f>
        <v>0.52600000000000002</v>
      </c>
      <c r="E445" s="422">
        <f>Лист1!H199</f>
        <v>760</v>
      </c>
      <c r="F445" s="420">
        <f t="shared" si="28"/>
        <v>399.76</v>
      </c>
      <c r="G445" s="183"/>
      <c r="H445" s="7"/>
      <c r="I445" s="7"/>
      <c r="J445" s="155"/>
      <c r="K445" s="128"/>
      <c r="L445" s="156"/>
    </row>
    <row r="446" spans="1:12" ht="15.75" x14ac:dyDescent="0.25">
      <c r="A446" s="139" t="str">
        <f>'работа 2 пат'!A429</f>
        <v>Бумага Cactus 230</v>
      </c>
      <c r="B446" s="88" t="s">
        <v>93</v>
      </c>
      <c r="C446" s="281"/>
      <c r="D446" s="421">
        <f>PRODUCT(Лист1!G200,$A$228)</f>
        <v>0.52600000000000002</v>
      </c>
      <c r="E446" s="422">
        <f>Лист1!H200</f>
        <v>810</v>
      </c>
      <c r="F446" s="420">
        <f t="shared" si="28"/>
        <v>426.06</v>
      </c>
      <c r="G446" s="183"/>
      <c r="H446" s="7"/>
      <c r="I446" s="7"/>
      <c r="J446" s="155"/>
      <c r="K446" s="128"/>
      <c r="L446" s="156"/>
    </row>
    <row r="447" spans="1:12" ht="18.75" x14ac:dyDescent="0.25">
      <c r="A447" s="618" t="s">
        <v>31</v>
      </c>
      <c r="B447" s="619"/>
      <c r="C447" s="619"/>
      <c r="D447" s="619"/>
      <c r="E447" s="620"/>
      <c r="F447" s="170">
        <f>SUM(F232:F446)</f>
        <v>200445.71299999996</v>
      </c>
      <c r="G447" s="183"/>
      <c r="H447" s="7"/>
      <c r="I447" s="7"/>
    </row>
    <row r="448" spans="1:12" ht="15.75" x14ac:dyDescent="0.25">
      <c r="A448" s="7"/>
      <c r="B448" s="7"/>
      <c r="C448" s="7"/>
      <c r="D448" s="7"/>
      <c r="E448" s="183"/>
      <c r="F448" s="7"/>
      <c r="G448" s="183"/>
      <c r="H448" s="7"/>
      <c r="I448" s="7"/>
    </row>
    <row r="449" spans="1:6" ht="15.75" x14ac:dyDescent="0.25">
      <c r="A449" s="7"/>
      <c r="B449" s="7"/>
      <c r="C449" s="7"/>
      <c r="D449" s="7"/>
      <c r="E449" s="7"/>
      <c r="F449" s="7"/>
    </row>
  </sheetData>
  <autoFilter ref="A230:I388" xr:uid="{00000000-0009-0000-0000-000006000000}"/>
  <mergeCells count="147">
    <mergeCell ref="A120:H120"/>
    <mergeCell ref="A121:A123"/>
    <mergeCell ref="B121:C123"/>
    <mergeCell ref="D121:H121"/>
    <mergeCell ref="D122:D123"/>
    <mergeCell ref="E122:E123"/>
    <mergeCell ref="F122:F123"/>
    <mergeCell ref="G122:G123"/>
    <mergeCell ref="H122:H123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B31:C31"/>
    <mergeCell ref="B33:C33"/>
    <mergeCell ref="B34:C34"/>
    <mergeCell ref="A119:F119"/>
    <mergeCell ref="G45:G46"/>
    <mergeCell ref="G112:G113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09:B10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19:B21"/>
    <mergeCell ref="D19:D21"/>
    <mergeCell ref="E19:F19"/>
    <mergeCell ref="F20:F21"/>
    <mergeCell ref="A144:E144"/>
    <mergeCell ref="A110:F110"/>
    <mergeCell ref="A112:B113"/>
    <mergeCell ref="D112:D113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16:B116"/>
    <mergeCell ref="A118:B118"/>
    <mergeCell ref="A117:B117"/>
    <mergeCell ref="B124:C124"/>
    <mergeCell ref="A48:B48"/>
    <mergeCell ref="A114:B114"/>
    <mergeCell ref="A115:B115"/>
    <mergeCell ref="A170:B170"/>
    <mergeCell ref="A146:A147"/>
    <mergeCell ref="B146:B147"/>
    <mergeCell ref="D146:D147"/>
    <mergeCell ref="E146:E147"/>
    <mergeCell ref="F146:F147"/>
    <mergeCell ref="A175:F175"/>
    <mergeCell ref="A177:A178"/>
    <mergeCell ref="B177:B178"/>
    <mergeCell ref="D177:D178"/>
    <mergeCell ref="E177:E178"/>
    <mergeCell ref="A164:F164"/>
    <mergeCell ref="G190:G191"/>
    <mergeCell ref="A195:F195"/>
    <mergeCell ref="A196:F196"/>
    <mergeCell ref="A198:A199"/>
    <mergeCell ref="B198:B199"/>
    <mergeCell ref="D198:D199"/>
    <mergeCell ref="F177:F178"/>
    <mergeCell ref="A155:E155"/>
    <mergeCell ref="E198:E199"/>
    <mergeCell ref="F198:F199"/>
    <mergeCell ref="A190:A191"/>
    <mergeCell ref="B190:B191"/>
    <mergeCell ref="D190:D191"/>
    <mergeCell ref="E190:E191"/>
    <mergeCell ref="F190:F191"/>
    <mergeCell ref="A171:B171"/>
    <mergeCell ref="A172:B172"/>
    <mergeCell ref="A174:B174"/>
    <mergeCell ref="A188:F188"/>
    <mergeCell ref="G177:G178"/>
    <mergeCell ref="A167:B168"/>
    <mergeCell ref="D167:D168"/>
    <mergeCell ref="G167:G168"/>
    <mergeCell ref="A169:B169"/>
    <mergeCell ref="A447:E447"/>
    <mergeCell ref="A187:F187"/>
    <mergeCell ref="A226:E226"/>
    <mergeCell ref="A227:F227"/>
    <mergeCell ref="A228:F228"/>
    <mergeCell ref="A229:A230"/>
    <mergeCell ref="B229:B230"/>
    <mergeCell ref="D229:D230"/>
    <mergeCell ref="E229:E230"/>
    <mergeCell ref="F229:F230"/>
    <mergeCell ref="B137:C137"/>
    <mergeCell ref="D134:F134"/>
    <mergeCell ref="A133:H133"/>
    <mergeCell ref="A134:A136"/>
    <mergeCell ref="B134:C136"/>
    <mergeCell ref="D135:D136"/>
    <mergeCell ref="E135:E136"/>
    <mergeCell ref="F135:F136"/>
    <mergeCell ref="A1:I1"/>
    <mergeCell ref="E112:E113"/>
    <mergeCell ref="F112:F113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109" max="8" man="1"/>
    <brk id="187" max="8" man="1"/>
    <brk id="289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678" t="s">
        <v>79</v>
      </c>
      <c r="B1" s="678"/>
      <c r="C1" s="678"/>
      <c r="D1" s="678"/>
      <c r="E1" s="678"/>
      <c r="F1" s="678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67</v>
      </c>
      <c r="B3" s="15" t="s">
        <v>2</v>
      </c>
      <c r="C3" s="15" t="s">
        <v>68</v>
      </c>
      <c r="D3" s="15" t="s">
        <v>69</v>
      </c>
      <c r="E3" s="14" t="s">
        <v>70</v>
      </c>
      <c r="F3" s="15" t="s">
        <v>71</v>
      </c>
      <c r="G3" s="14" t="s">
        <v>72</v>
      </c>
      <c r="H3" s="14" t="s">
        <v>73</v>
      </c>
      <c r="I3" s="26" t="s">
        <v>74</v>
      </c>
    </row>
    <row r="4" spans="1:9" ht="15.75" x14ac:dyDescent="0.25">
      <c r="A4" s="16" t="s">
        <v>80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81</v>
      </c>
    </row>
    <row r="18" spans="1:9" x14ac:dyDescent="0.25">
      <c r="B18">
        <v>131569.758</v>
      </c>
      <c r="E18" t="s">
        <v>82</v>
      </c>
      <c r="F18" s="1">
        <v>63000</v>
      </c>
      <c r="H18">
        <v>277896</v>
      </c>
      <c r="I18" s="36" t="s">
        <v>83</v>
      </c>
    </row>
    <row r="19" spans="1:9" x14ac:dyDescent="0.25">
      <c r="E19" t="s">
        <v>84</v>
      </c>
      <c r="F19" s="1">
        <v>86158</v>
      </c>
      <c r="I19" t="s">
        <v>85</v>
      </c>
    </row>
    <row r="20" spans="1:9" x14ac:dyDescent="0.25">
      <c r="E20" t="s">
        <v>86</v>
      </c>
      <c r="F20" s="1">
        <f>F19-F18</f>
        <v>23158</v>
      </c>
      <c r="H20" s="28">
        <f>H17+H18+H19</f>
        <v>5487986.7800000003</v>
      </c>
      <c r="I20" t="s">
        <v>63</v>
      </c>
    </row>
    <row r="21" spans="1:9" x14ac:dyDescent="0.25">
      <c r="E21" t="s">
        <v>87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3 работа</vt:lpstr>
      <vt:lpstr>работа 3 добр</vt:lpstr>
      <vt:lpstr>Лист1</vt:lpstr>
      <vt:lpstr>натур показатели 2 работа</vt:lpstr>
      <vt:lpstr>работа 2 пат</vt:lpstr>
      <vt:lpstr>натур показатели 1 работа </vt:lpstr>
      <vt:lpstr>работа 1 иниц</vt:lpstr>
      <vt:lpstr>Лист3</vt:lpstr>
      <vt:lpstr>затраты!Область_печати</vt:lpstr>
      <vt:lpstr>'работа 1 иниц'!Область_печати</vt:lpstr>
      <vt:lpstr>'работа 2 пат'!Область_печати</vt:lpstr>
      <vt:lpstr>'работа 3 добр'!Область_печати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2019-05-08T08:17:33Z</dcterms:modified>
</cp:coreProperties>
</file>